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АПУНОВА\2017 год\ПРОГНОЗ\Предварительный прогноз на 2020-2024г\на заседание админ 2019\"/>
    </mc:Choice>
  </mc:AlternateContent>
  <bookViews>
    <workbookView xWindow="0" yWindow="0" windowWidth="24000" windowHeight="8745"/>
  </bookViews>
  <sheets>
    <sheet name="форма 2п для МО и ГО" sheetId="2" r:id="rId1"/>
  </sheets>
  <definedNames>
    <definedName name="_xlnm.Print_Titles" localSheetId="0">'форма 2п для МО и ГО'!$10:$13</definedName>
  </definedNames>
  <calcPr calcId="152511"/>
</workbook>
</file>

<file path=xl/calcChain.xml><?xml version="1.0" encoding="utf-8"?>
<calcChain xmlns="http://schemas.openxmlformats.org/spreadsheetml/2006/main">
  <c r="F151" i="2" l="1"/>
  <c r="J148" i="2"/>
  <c r="K148" i="2" s="1"/>
  <c r="G148" i="2"/>
  <c r="H148" i="2" s="1"/>
  <c r="K147" i="2"/>
  <c r="H147" i="2"/>
  <c r="K146" i="2"/>
  <c r="H146" i="2"/>
  <c r="J145" i="2"/>
  <c r="K145" i="2" s="1"/>
  <c r="G145" i="2"/>
  <c r="H145" i="2" s="1"/>
  <c r="K144" i="2"/>
  <c r="H144" i="2"/>
  <c r="K143" i="2"/>
  <c r="H143" i="2"/>
  <c r="J142" i="2"/>
  <c r="K142" i="2" s="1"/>
  <c r="G142" i="2"/>
  <c r="H142" i="2" s="1"/>
  <c r="K141" i="2"/>
  <c r="H141" i="2"/>
  <c r="K140" i="2"/>
  <c r="H140" i="2"/>
  <c r="K139" i="2"/>
  <c r="H139" i="2"/>
  <c r="J138" i="2"/>
  <c r="K138" i="2" s="1"/>
  <c r="G138" i="2"/>
  <c r="H138" i="2" s="1"/>
  <c r="H136" i="2" s="1"/>
  <c r="K137" i="2"/>
  <c r="K136" i="2" s="1"/>
  <c r="H137" i="2"/>
  <c r="N136" i="2"/>
  <c r="M136" i="2"/>
  <c r="J136" i="2"/>
  <c r="I136" i="2"/>
  <c r="F136" i="2"/>
  <c r="E136" i="2"/>
  <c r="D136" i="2"/>
  <c r="C136" i="2"/>
  <c r="N119" i="2"/>
  <c r="M119" i="2"/>
  <c r="L119" i="2"/>
  <c r="K119" i="2"/>
  <c r="J119" i="2"/>
  <c r="I119" i="2"/>
  <c r="H119" i="2"/>
  <c r="G119" i="2"/>
  <c r="F119" i="2"/>
  <c r="E119" i="2"/>
  <c r="N118" i="2"/>
  <c r="N117" i="2" s="1"/>
  <c r="N150" i="2" s="1"/>
  <c r="M118" i="2"/>
  <c r="L118" i="2"/>
  <c r="L117" i="2" s="1"/>
  <c r="K118" i="2"/>
  <c r="J118" i="2"/>
  <c r="J117" i="2" s="1"/>
  <c r="J150" i="2" s="1"/>
  <c r="I118" i="2"/>
  <c r="H118" i="2"/>
  <c r="H117" i="2" s="1"/>
  <c r="G118" i="2"/>
  <c r="F118" i="2"/>
  <c r="F117" i="2" s="1"/>
  <c r="F150" i="2" s="1"/>
  <c r="E118" i="2"/>
  <c r="D118" i="2"/>
  <c r="D117" i="2" s="1"/>
  <c r="D150" i="2" s="1"/>
  <c r="M117" i="2"/>
  <c r="M150" i="2" s="1"/>
  <c r="K117" i="2"/>
  <c r="K150" i="2" s="1"/>
  <c r="I117" i="2"/>
  <c r="I150" i="2" s="1"/>
  <c r="G117" i="2"/>
  <c r="E117" i="2"/>
  <c r="E150" i="2" s="1"/>
  <c r="C117" i="2"/>
  <c r="C150" i="2" s="1"/>
  <c r="H150" i="2" l="1"/>
  <c r="L150" i="2"/>
  <c r="L137" i="2"/>
  <c r="L136" i="2" s="1"/>
  <c r="G136" i="2"/>
  <c r="G150" i="2" s="1"/>
  <c r="N107" i="2"/>
  <c r="M107" i="2"/>
  <c r="L107" i="2"/>
  <c r="K107" i="2"/>
  <c r="J107" i="2"/>
  <c r="I107" i="2"/>
  <c r="H107" i="2"/>
  <c r="G107" i="2"/>
  <c r="F107" i="2"/>
  <c r="G24" i="2" l="1"/>
  <c r="F75" i="2" l="1"/>
  <c r="I75" i="2" s="1"/>
  <c r="L75" i="2" s="1"/>
  <c r="H75" i="2"/>
  <c r="G75" i="2"/>
  <c r="F73" i="2"/>
  <c r="I73" i="2" s="1"/>
  <c r="L73" i="2" s="1"/>
  <c r="H73" i="2"/>
  <c r="K73" i="2" s="1"/>
  <c r="N73" i="2" s="1"/>
  <c r="G73" i="2"/>
  <c r="J73" i="2" s="1"/>
  <c r="M73" i="2" s="1"/>
  <c r="F102" i="2"/>
  <c r="E104" i="2"/>
  <c r="F71" i="2" l="1"/>
  <c r="F72" i="2" s="1"/>
  <c r="G71" i="2"/>
  <c r="G72" i="2" s="1"/>
  <c r="K75" i="2"/>
  <c r="K71" i="2" s="1"/>
  <c r="J75" i="2"/>
  <c r="J71" i="2" s="1"/>
  <c r="J72" i="2" s="1"/>
  <c r="I71" i="2"/>
  <c r="I72" i="2" s="1"/>
  <c r="M75" i="2"/>
  <c r="H71" i="2"/>
  <c r="H72" i="2" s="1"/>
  <c r="I102" i="2"/>
  <c r="M102" i="2"/>
  <c r="K102" i="2"/>
  <c r="J102" i="2"/>
  <c r="H102" i="2"/>
  <c r="G102" i="2"/>
  <c r="E102" i="2"/>
  <c r="H103" i="2"/>
  <c r="G103" i="2"/>
  <c r="F103" i="2"/>
  <c r="F106" i="2" s="1"/>
  <c r="N101" i="2"/>
  <c r="N102" i="2" s="1"/>
  <c r="L101" i="2"/>
  <c r="L102" i="2" s="1"/>
  <c r="H104" i="2" l="1"/>
  <c r="H106" i="2"/>
  <c r="G104" i="2"/>
  <c r="G106" i="2"/>
  <c r="K72" i="2"/>
  <c r="J103" i="2"/>
  <c r="J106" i="2" s="1"/>
  <c r="N75" i="2"/>
  <c r="I103" i="2"/>
  <c r="I106" i="2" s="1"/>
  <c r="F104" i="2"/>
  <c r="K103" i="2"/>
  <c r="K106" i="2" s="1"/>
  <c r="M71" i="2"/>
  <c r="M72" i="2" s="1"/>
  <c r="L71" i="2"/>
  <c r="L72" i="2" s="1"/>
  <c r="N71" i="2"/>
  <c r="N72" i="2" s="1"/>
  <c r="H161" i="2"/>
  <c r="K161" i="2" s="1"/>
  <c r="N161" i="2" s="1"/>
  <c r="G161" i="2"/>
  <c r="J161" i="2" s="1"/>
  <c r="M161" i="2" s="1"/>
  <c r="F161" i="2"/>
  <c r="I161" i="2" s="1"/>
  <c r="L161" i="2" s="1"/>
  <c r="H156" i="2"/>
  <c r="K156" i="2" s="1"/>
  <c r="N156" i="2" s="1"/>
  <c r="G156" i="2"/>
  <c r="J156" i="2" s="1"/>
  <c r="M156" i="2" s="1"/>
  <c r="F156" i="2"/>
  <c r="I156" i="2" s="1"/>
  <c r="L156" i="2" s="1"/>
  <c r="H24" i="2"/>
  <c r="K24" i="2" s="1"/>
  <c r="N24" i="2" s="1"/>
  <c r="J24" i="2"/>
  <c r="F24" i="2"/>
  <c r="I24" i="2" s="1"/>
  <c r="L24" i="2" s="1"/>
  <c r="M24" i="2" l="1"/>
  <c r="N103" i="2"/>
  <c r="N106" i="2" s="1"/>
  <c r="K104" i="2"/>
  <c r="L103" i="2"/>
  <c r="L106" i="2" s="1"/>
  <c r="I104" i="2"/>
  <c r="M103" i="2"/>
  <c r="M106" i="2" s="1"/>
  <c r="J104" i="2"/>
  <c r="H99" i="2"/>
  <c r="K99" i="2" s="1"/>
  <c r="N99" i="2" s="1"/>
  <c r="G99" i="2"/>
  <c r="J99" i="2" s="1"/>
  <c r="M99" i="2" s="1"/>
  <c r="F99" i="2"/>
  <c r="I99" i="2" s="1"/>
  <c r="L99" i="2" s="1"/>
  <c r="H98" i="2"/>
  <c r="K98" i="2" s="1"/>
  <c r="N98" i="2" s="1"/>
  <c r="G98" i="2"/>
  <c r="J98" i="2" s="1"/>
  <c r="M98" i="2" s="1"/>
  <c r="F98" i="2"/>
  <c r="I98" i="2" s="1"/>
  <c r="L98" i="2" s="1"/>
  <c r="H92" i="2"/>
  <c r="K92" i="2" s="1"/>
  <c r="N92" i="2" s="1"/>
  <c r="G92" i="2"/>
  <c r="J92" i="2" s="1"/>
  <c r="M92" i="2" s="1"/>
  <c r="F92" i="2"/>
  <c r="I92" i="2" s="1"/>
  <c r="L92" i="2" s="1"/>
  <c r="H94" i="2"/>
  <c r="K94" i="2" s="1"/>
  <c r="N94" i="2" s="1"/>
  <c r="G94" i="2"/>
  <c r="J94" i="2" s="1"/>
  <c r="M94" i="2" s="1"/>
  <c r="F94" i="2"/>
  <c r="I94" i="2" s="1"/>
  <c r="L94" i="2" s="1"/>
  <c r="H88" i="2"/>
  <c r="K88" i="2" s="1"/>
  <c r="N88" i="2" s="1"/>
  <c r="G88" i="2"/>
  <c r="J88" i="2" s="1"/>
  <c r="M88" i="2" s="1"/>
  <c r="F88" i="2"/>
  <c r="I88" i="2" s="1"/>
  <c r="L88" i="2" s="1"/>
  <c r="H65" i="2"/>
  <c r="K65" i="2" s="1"/>
  <c r="N65" i="2" s="1"/>
  <c r="G65" i="2"/>
  <c r="J65" i="2" s="1"/>
  <c r="M65" i="2" s="1"/>
  <c r="F65" i="2"/>
  <c r="I65" i="2" s="1"/>
  <c r="L65" i="2" s="1"/>
  <c r="H68" i="2"/>
  <c r="K68" i="2" s="1"/>
  <c r="N68" i="2" s="1"/>
  <c r="G68" i="2"/>
  <c r="J68" i="2" s="1"/>
  <c r="M68" i="2" s="1"/>
  <c r="F68" i="2"/>
  <c r="I68" i="2" s="1"/>
  <c r="L68" i="2" s="1"/>
  <c r="M104" i="2" l="1"/>
  <c r="L104" i="2"/>
  <c r="N104" i="2"/>
</calcChain>
</file>

<file path=xl/sharedStrings.xml><?xml version="1.0" encoding="utf-8"?>
<sst xmlns="http://schemas.openxmlformats.org/spreadsheetml/2006/main" count="352" uniqueCount="220">
  <si>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</si>
  <si>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</si>
  <si>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</si>
  <si>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</si>
  <si>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</si>
  <si>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</si>
  <si>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</si>
  <si>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</si>
  <si>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</si>
  <si>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</si>
  <si>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</si>
  <si>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</si>
  <si>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</si>
  <si>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</si>
  <si>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</si>
  <si>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</si>
  <si>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</si>
  <si>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</si>
  <si>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</si>
  <si>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</si>
  <si>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</si>
  <si>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</si>
  <si>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Индекс физического объема инвестиций в основной капитал</t>
  </si>
  <si>
    <t>Собственные средства</t>
  </si>
  <si>
    <t>млн.руб.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</si>
  <si>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</si>
  <si>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</si>
  <si>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</si>
  <si>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</si>
  <si>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</si>
  <si>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</si>
  <si>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</si>
  <si>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учреждениями культурно-досугового типа</t>
  </si>
  <si>
    <t>дошкольными образовательными учреждениями</t>
  </si>
  <si>
    <t>Численность иностранных граждан, прибывших в регион по цели поездки туризм</t>
  </si>
  <si>
    <t>Численность российских граждан, выехавших за границу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</si>
  <si>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</si>
  <si>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</si>
  <si>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</si>
  <si>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</si>
  <si>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</si>
  <si>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</si>
  <si>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</si>
  <si>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</si>
  <si>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</si>
  <si>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</si>
  <si>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</si>
  <si>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Оборот малых и средних предприятий, включая микропредприятия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</si>
  <si>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</si>
  <si>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Темп роста отгрузки - РАЗДЕЛ C: Обрабатывающие производства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</si>
  <si>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</si>
  <si>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</si>
  <si>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Темп роста отгрузки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</si>
  <si>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</si>
  <si>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</si>
  <si>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</si>
  <si>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целевой</t>
  </si>
  <si>
    <t>1 вариант</t>
  </si>
  <si>
    <t>2 вариант</t>
  </si>
  <si>
    <t>3 вариант</t>
  </si>
  <si>
    <t>Темп роста отгрузки - РАЗДЕЛ D: Обеспечение электрической энергией, газом и паром; кондиционирование воздуха</t>
  </si>
  <si>
    <t>Темп роста отгрузки - 13 Производство текстильных изделий*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</si>
  <si>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 *</t>
  </si>
  <si>
    <t>Темп роста отгрузки - 17 Производство бумаги и бумажных изделий *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</si>
  <si>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</si>
  <si>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- 10 Производство пищевых продуктов *</t>
  </si>
  <si>
    <t>Темп роста отгрузки -10 Производство пищевых продуктов *</t>
  </si>
  <si>
    <t>Объем отгруженных товаров собственного производства, выполненных работ и услуг собственными силами - 11 Производство напитков *</t>
  </si>
  <si>
    <t>Темп роста отгрузки -11 Производство напитков *</t>
  </si>
  <si>
    <t>Объем отгруженных товаров собственного производства, выполненных работ и услуг собственными силами - 12 Производство табачных изделий *</t>
  </si>
  <si>
    <t>Темп роста отгрузки - 12 Производство табачных изделий *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</si>
  <si>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 *</t>
  </si>
  <si>
    <t>Объем отгруженных товаров собственного производства, выполненных работ и услуг собственными силами - 14 Производство одежды *</t>
  </si>
  <si>
    <t>Темп роста отгрузки - 14 Производство одежды *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</si>
  <si>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</si>
  <si>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отгрузки - 16 Обработка древесины и производство изделий из дерева и пробки, кроме мебели, производство изделий из соломки и материалов для плетения *</t>
  </si>
  <si>
    <t>Темп роста отгрузки - 18 Деятельность полиграфическая и копирование носителей информации *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</si>
  <si>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 *</t>
  </si>
  <si>
    <t>Темп роста отгрузки - 21 Производство лекарственных средств и материалов, применяемых в медицинских целях *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</si>
  <si>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 *</t>
  </si>
  <si>
    <t>Темп роста отгрузки - 22 Производство резиновых и пластмассовых изделий *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</si>
  <si>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 *</t>
  </si>
  <si>
    <t>Темп роста отгрузки - 23 Производство прочей неметаллической минеральной продукции *</t>
  </si>
  <si>
    <t>Объем отгруженных товаров собственного производства, выполненных работ и услуг собственными силами - 24 Производство металлургическое *</t>
  </si>
  <si>
    <t>Темп роста отгрузки - 24 Производство металлургическое *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</si>
  <si>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 *</t>
  </si>
  <si>
    <t>Темп роста отгрузки - 25 Производство готовых металлических изделий, кроме машин и оборудования *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</si>
  <si>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 *</t>
  </si>
  <si>
    <t>Темп роста отгрузки - 26 Производство компьютеров, электронных и  оптических изделий *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</si>
  <si>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 *</t>
  </si>
  <si>
    <t>Темп роста отгрузки - 27 Производство электрического оборудования *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</si>
  <si>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 *</t>
  </si>
  <si>
    <t>Темп роста отгрузки - 30 Производство прочих транспортных средств и оборудования *</t>
  </si>
  <si>
    <t>Объем отгруженных товаров собственного производства, выполненных работ и услуг собственными силами - 31 Производство мебели *</t>
  </si>
  <si>
    <t>Темп роста отгрузки - 31 Производство мебели *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</si>
  <si>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 *</t>
  </si>
  <si>
    <t>Темп роста отгрузки - 32 Производство прочих готовых изделий *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</si>
  <si>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</si>
  <si>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 **</t>
  </si>
  <si>
    <t>Темп роста отгрузки - 20 Производство химических веществ и химических продуктов **</t>
  </si>
  <si>
    <t>* город Ставрополь</t>
  </si>
  <si>
    <t>Все страны***</t>
  </si>
  <si>
    <t xml:space="preserve">   Страны вне СНГ***</t>
  </si>
  <si>
    <t xml:space="preserve">   Страны СНГ***</t>
  </si>
  <si>
    <t xml:space="preserve">    Страны вне СНГ***</t>
  </si>
  <si>
    <t xml:space="preserve">    Страны СНГ***</t>
  </si>
  <si>
    <t>Количество российских посетителей из других регионов (резидентов)***</t>
  </si>
  <si>
    <t>*** города-курорты КМВ</t>
  </si>
  <si>
    <t>**города Ставрополь и Невинномысск</t>
  </si>
  <si>
    <t>Ожидаемая продолжительность жизни при рождении</t>
  </si>
  <si>
    <t>число лет</t>
  </si>
  <si>
    <t>Миграционный прирост (убыль)</t>
  </si>
  <si>
    <t>Количество малых и средних предприятий, включая микропредприятия (на конец года)</t>
  </si>
  <si>
    <t>Привлеченные средства, из них:</t>
  </si>
  <si>
    <t>Налоговые и неналоговые доходы, всего</t>
  </si>
  <si>
    <t>Неналоговые доходы</t>
  </si>
  <si>
    <t>Безвозмездные поступления всего, в том числе</t>
  </si>
  <si>
    <t>% г/г</t>
  </si>
  <si>
    <t xml:space="preserve">Доходы консолидированного бюджета </t>
  </si>
  <si>
    <t>Государственный долг муниципального образования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</si>
  <si>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</si>
  <si>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</si>
  <si>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</si>
  <si>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</si>
  <si>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Население</t>
  </si>
  <si>
    <t>Численность населения (в среднегодовом исчислении)</t>
  </si>
  <si>
    <t>Численность населения трудоспособного возраста
(на 1 января года)</t>
  </si>
  <si>
    <t>Численность населения старше трудоспособного возраста
(на 1 января года)</t>
  </si>
  <si>
    <t>число родившихся живыми
на 1000 человек населения</t>
  </si>
  <si>
    <t>Промышленное производство</t>
  </si>
  <si>
    <t>% к предыдущему году
в сопоставимых ценах</t>
  </si>
  <si>
    <t>Сельское хозяйство</t>
  </si>
  <si>
    <t>Строительство</t>
  </si>
  <si>
    <t>в ценах соответствующих лет; млн руб.</t>
  </si>
  <si>
    <t>тыс. кв. м общей площади</t>
  </si>
  <si>
    <t>Торговля и услуги населению</t>
  </si>
  <si>
    <t>Индекс физического объема оборота розничной торговли</t>
  </si>
  <si>
    <t>Индекс физического объема платных услуг населению</t>
  </si>
  <si>
    <t>Малое и среднее предпринимательство, включая микропредприятия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</si>
  <si>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</si>
  <si>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Налоговые доходы консолидированного бюджета субъекта Российской Федерации всего, в том числе:</t>
  </si>
  <si>
    <t>налог на прибыль организаций</t>
  </si>
  <si>
    <t>налог на доходы физических лиц</t>
  </si>
  <si>
    <t>налог на добычу полезных ископаемых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</si>
  <si>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</si>
  <si>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</si>
  <si>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</si>
  <si>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</si>
  <si>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</si>
  <si>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</si>
  <si>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</si>
  <si>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субсидии из федерального бюджета</t>
  </si>
  <si>
    <t>субвенции из федерального бюджета</t>
  </si>
  <si>
    <t>дотации из федерального бюджета, в том числе:</t>
  </si>
  <si>
    <t>дотации на выравнивание бюджетной обеспеченности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</si>
  <si>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</si>
  <si>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</si>
  <si>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</si>
  <si>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</si>
  <si>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</si>
  <si>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</si>
  <si>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</si>
  <si>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</si>
  <si>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</si>
  <si>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</si>
  <si>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</si>
  <si>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</si>
  <si>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</si>
  <si>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Труд и занятость</t>
  </si>
  <si>
    <t>Численность рабочей силы</t>
  </si>
  <si>
    <t>Среднегодовая численность занятых в экономике (по данным баланса трудовых ресурсов)</t>
  </si>
  <si>
    <t>Темп роста номинальной начисленной среднемесячной заработной платы работников организаций</t>
  </si>
  <si>
    <t>Общая численность безработных (по методологии МОТ)</t>
  </si>
  <si>
    <t>Численность безработных, зарегистрированных в государственных учреждениях службы занятости населения (на конец года)</t>
  </si>
  <si>
    <t>Финансы организаций</t>
  </si>
  <si>
    <t>Темп роста прибыли прибыльных организаций для целей бухгалтерского учета</t>
  </si>
  <si>
    <t xml:space="preserve">Консолидированный бюджет </t>
  </si>
  <si>
    <t>Расходы консолидированного бюджета, в том числе по направлениям:</t>
  </si>
  <si>
    <t>1           вариант</t>
  </si>
  <si>
    <t>2                   вариант</t>
  </si>
  <si>
    <t xml:space="preserve">Производство важнейших видов продукции в натуральном выражении </t>
  </si>
  <si>
    <t>Развитие социальной сферы</t>
  </si>
  <si>
    <t>Туризм</t>
  </si>
  <si>
    <t>6. Инвестиции</t>
  </si>
  <si>
    <t>Инвестиции в основной капитал</t>
  </si>
  <si>
    <t>в ценах соответствующих лет; млн. руб.</t>
  </si>
  <si>
    <t>% к предыдущему году в сопоставимых ценах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</si>
  <si>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</si>
  <si>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</si>
  <si>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Инвестиции в основной капитал по источникам финансирования</t>
  </si>
  <si>
    <t>млн. рублей</t>
  </si>
  <si>
    <t xml:space="preserve">     кредиты банков, в том числе:</t>
  </si>
  <si>
    <t xml:space="preserve">     кредиты иностранных банков</t>
  </si>
  <si>
    <t>Заемные средства других организаций</t>
  </si>
  <si>
    <t>Бюджетные средства, в том числе:</t>
  </si>
  <si>
    <t xml:space="preserve">     федеральный бюджет</t>
  </si>
  <si>
    <t xml:space="preserve">     бюджеты субъектов Российской Федерации</t>
  </si>
  <si>
    <t xml:space="preserve">     из местных бюджетов</t>
  </si>
  <si>
    <t>Прочие</t>
  </si>
  <si>
    <t>Отчет</t>
  </si>
  <si>
    <t>Оценка показателя</t>
  </si>
  <si>
    <t>Прогноз</t>
  </si>
  <si>
    <t>Приложение</t>
  </si>
  <si>
    <t>ПРОГНОЗ</t>
  </si>
  <si>
    <t>социально-экономического развития Георгиевского городского округа Ставропольского края на 2020 год и на период до 2022 года</t>
  </si>
  <si>
    <t xml:space="preserve">к постановлению администрации Георгиевского </t>
  </si>
  <si>
    <t>городского округа Ставропольского края</t>
  </si>
  <si>
    <t xml:space="preserve"> от __________2019 г. №_______</t>
  </si>
  <si>
    <t>1    вариант</t>
  </si>
  <si>
    <t>2       вариант</t>
  </si>
  <si>
    <t>млн. руб.</t>
  </si>
  <si>
    <t>млн. шт.</t>
  </si>
  <si>
    <t>Индекс физического объема работ, выполненных по виду деятельности «Строительство»</t>
  </si>
  <si>
    <t>Объем работ, выполненных по виду деятельности «Строительство»</t>
  </si>
  <si>
    <t>млрд. руб.</t>
  </si>
  <si>
    <t>Дефицит(-), профицит(+) консолидированного бюджета</t>
  </si>
  <si>
    <t>млн.  руб.</t>
  </si>
  <si>
    <t>учрежд. на 100 тыс. населения</t>
  </si>
  <si>
    <t>Исполняющий обязанности управляющего делами                                                             администрации Георгиевского городского округа Ставропольского края</t>
  </si>
  <si>
    <t>А.Н. Савченко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</si>
</sst>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/>
    <xf numFmtId="2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 shrinkToFit="1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left" vertical="center" wrapText="1" shrinkToFi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vertical="center" wrapText="1" shrinkToFit="1"/>
    </xf>
    <xf numFmtId="0" fontId="6" fillId="0" borderId="0" xfId="0" applyFont="1"/>
    <xf numFmtId="0" fontId="6" fillId="0" borderId="0" xfId="0" applyFont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/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 shrinkToFit="1"/>
    </xf>
    <xf numFmtId="164" fontId="1" fillId="2" borderId="1" xfId="0" applyNumberFormat="1" applyFont="1" applyFill="1" applyBorder="1" applyAlignment="1" applyProtection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1" fillId="2" borderId="5" xfId="0" applyFont="1" applyFill="1" applyBorder="1" applyAlignment="1" applyProtection="1">
      <alignment horizontal="left" vertical="center" wrapText="1" shrinkToFit="1"/>
    </xf>
    <xf numFmtId="0" fontId="1" fillId="2" borderId="6" xfId="0" applyFont="1" applyFill="1" applyBorder="1" applyAlignment="1" applyProtection="1">
      <alignment horizontal="left" vertical="center" wrapText="1" shrinkToFit="1"/>
    </xf>
    <xf numFmtId="0" fontId="6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1"/>
  <sheetViews>
    <sheetView tabSelected="1" zoomScale="70" zoomScaleNormal="70" workbookViewId="0">
      <selection activeCell="N136" sqref="N136"/>
    </sheetView>
  </sheetViews>
  <sheetFormatPr defaultRowHeight="12.75" x14ac:dyDescent="0.2"/>
  <cols>
    <col min="1" max="1" width="47.5703125" customWidth="1"/>
    <col min="2" max="2" width="19" style="1" customWidth="1"/>
    <col min="3" max="3" width="11" customWidth="1"/>
    <col min="4" max="4" width="10.28515625" customWidth="1"/>
    <col min="5" max="5" width="11.42578125" customWidth="1"/>
    <col min="6" max="6" width="13.42578125" customWidth="1"/>
    <col min="7" max="7" width="13.140625" customWidth="1"/>
    <col min="8" max="8" width="10.42578125" customWidth="1"/>
    <col min="9" max="9" width="11.5703125" customWidth="1"/>
    <col min="10" max="10" width="11.85546875" customWidth="1"/>
    <col min="11" max="11" width="10.5703125" customWidth="1"/>
    <col min="12" max="14" width="11" customWidth="1"/>
  </cols>
  <sheetData>
    <row r="1" spans="1:14" s="6" customFormat="1" ht="31.5" x14ac:dyDescent="0.45">
      <c r="A1" s="29"/>
      <c r="B1" s="30"/>
      <c r="C1" s="29"/>
      <c r="D1" s="29"/>
      <c r="E1" s="29"/>
      <c r="F1" s="29"/>
      <c r="G1" s="29"/>
      <c r="H1" s="55" t="s">
        <v>202</v>
      </c>
      <c r="I1" s="55"/>
      <c r="J1" s="55"/>
      <c r="K1" s="55"/>
      <c r="L1" s="55"/>
      <c r="M1" s="55"/>
      <c r="N1" s="55"/>
    </row>
    <row r="2" spans="1:14" s="6" customFormat="1" ht="31.5" x14ac:dyDescent="0.45">
      <c r="A2" s="29"/>
      <c r="B2" s="30"/>
      <c r="C2" s="29"/>
      <c r="D2" s="29"/>
      <c r="E2" s="29"/>
      <c r="F2" s="29"/>
      <c r="G2" s="29"/>
      <c r="H2" s="55"/>
      <c r="I2" s="55"/>
      <c r="J2" s="55"/>
      <c r="K2" s="55"/>
      <c r="L2" s="55"/>
      <c r="M2" s="55"/>
      <c r="N2" s="55"/>
    </row>
    <row r="3" spans="1:14" s="6" customFormat="1" ht="31.5" x14ac:dyDescent="0.45">
      <c r="A3" s="29"/>
      <c r="B3" s="30"/>
      <c r="C3" s="29"/>
      <c r="D3" s="29"/>
      <c r="E3" s="29"/>
      <c r="F3" s="29"/>
      <c r="G3" s="29"/>
      <c r="H3" s="56" t="s">
        <v>205</v>
      </c>
      <c r="I3" s="56"/>
      <c r="J3" s="56"/>
      <c r="K3" s="56"/>
      <c r="L3" s="56"/>
      <c r="M3" s="56"/>
      <c r="N3" s="56"/>
    </row>
    <row r="4" spans="1:14" s="6" customFormat="1" ht="31.5" x14ac:dyDescent="0.45">
      <c r="A4" s="29"/>
      <c r="B4" s="30"/>
      <c r="C4" s="29"/>
      <c r="D4" s="29"/>
      <c r="E4" s="29"/>
      <c r="F4" s="29"/>
      <c r="G4" s="29"/>
      <c r="H4" s="56" t="s">
        <v>206</v>
      </c>
      <c r="I4" s="56"/>
      <c r="J4" s="56"/>
      <c r="K4" s="56"/>
      <c r="L4" s="56"/>
      <c r="M4" s="56"/>
      <c r="N4" s="56"/>
    </row>
    <row r="5" spans="1:14" s="6" customFormat="1" ht="28.5" customHeight="1" x14ac:dyDescent="0.45">
      <c r="A5" s="29"/>
      <c r="B5" s="30"/>
      <c r="C5" s="29"/>
      <c r="D5" s="29"/>
      <c r="E5" s="29"/>
      <c r="F5" s="29"/>
      <c r="G5" s="29"/>
      <c r="H5" s="57" t="s">
        <v>207</v>
      </c>
      <c r="I5" s="57"/>
      <c r="J5" s="57"/>
      <c r="K5" s="57"/>
      <c r="L5" s="57"/>
      <c r="M5" s="57"/>
      <c r="N5" s="57"/>
    </row>
    <row r="6" spans="1:14" s="6" customFormat="1" ht="31.5" x14ac:dyDescent="0.45">
      <c r="A6" s="54" t="s">
        <v>203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1:14" s="6" customFormat="1" ht="24" customHeight="1" x14ac:dyDescent="0.45">
      <c r="A7" s="49" t="s">
        <v>204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14" s="6" customFormat="1" ht="17.25" customHeight="1" x14ac:dyDescent="0.4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10" spans="1:14" s="2" customFormat="1" ht="56.25" x14ac:dyDescent="0.3">
      <c r="A10" s="51" t="s">
        <v>39</v>
      </c>
      <c r="B10" s="51" t="s">
        <v>40</v>
      </c>
      <c r="C10" s="31" t="s">
        <v>199</v>
      </c>
      <c r="D10" s="31" t="s">
        <v>199</v>
      </c>
      <c r="E10" s="31" t="s">
        <v>200</v>
      </c>
      <c r="F10" s="50" t="s">
        <v>201</v>
      </c>
      <c r="G10" s="50"/>
      <c r="H10" s="50"/>
      <c r="I10" s="50"/>
      <c r="J10" s="50"/>
      <c r="K10" s="50"/>
      <c r="L10" s="50"/>
      <c r="M10" s="50"/>
      <c r="N10" s="50"/>
    </row>
    <row r="11" spans="1:14" s="2" customFormat="1" ht="18.75" x14ac:dyDescent="0.3">
      <c r="A11" s="52"/>
      <c r="B11" s="52"/>
      <c r="C11" s="51">
        <v>2017</v>
      </c>
      <c r="D11" s="51">
        <v>2018</v>
      </c>
      <c r="E11" s="51">
        <v>2019</v>
      </c>
      <c r="F11" s="50">
        <v>2020</v>
      </c>
      <c r="G11" s="50"/>
      <c r="H11" s="50"/>
      <c r="I11" s="50">
        <v>2021</v>
      </c>
      <c r="J11" s="50"/>
      <c r="K11" s="31"/>
      <c r="L11" s="50">
        <v>2022</v>
      </c>
      <c r="M11" s="50"/>
      <c r="N11" s="31"/>
    </row>
    <row r="12" spans="1:14" s="2" customFormat="1" ht="45" customHeight="1" x14ac:dyDescent="0.3">
      <c r="A12" s="52"/>
      <c r="B12" s="52"/>
      <c r="C12" s="52"/>
      <c r="D12" s="52"/>
      <c r="E12" s="52"/>
      <c r="F12" s="31" t="s">
        <v>55</v>
      </c>
      <c r="G12" s="31" t="s">
        <v>54</v>
      </c>
      <c r="H12" s="31" t="s">
        <v>56</v>
      </c>
      <c r="I12" s="31" t="s">
        <v>55</v>
      </c>
      <c r="J12" s="31" t="s">
        <v>54</v>
      </c>
      <c r="K12" s="31" t="s">
        <v>56</v>
      </c>
      <c r="L12" s="31" t="s">
        <v>55</v>
      </c>
      <c r="M12" s="31" t="s">
        <v>54</v>
      </c>
      <c r="N12" s="31" t="s">
        <v>56</v>
      </c>
    </row>
    <row r="13" spans="1:14" s="2" customFormat="1" ht="51.75" customHeight="1" x14ac:dyDescent="0.3">
      <c r="A13" s="53"/>
      <c r="B13" s="53"/>
      <c r="C13" s="53"/>
      <c r="D13" s="53"/>
      <c r="E13" s="53"/>
      <c r="F13" s="31" t="s">
        <v>208</v>
      </c>
      <c r="G13" s="31" t="s">
        <v>209</v>
      </c>
      <c r="H13" s="31" t="s">
        <v>59</v>
      </c>
      <c r="I13" s="31" t="s">
        <v>178</v>
      </c>
      <c r="J13" s="31" t="s">
        <v>179</v>
      </c>
      <c r="K13" s="31" t="s">
        <v>59</v>
      </c>
      <c r="L13" s="31" t="s">
        <v>57</v>
      </c>
      <c r="M13" s="31" t="s">
        <v>58</v>
      </c>
      <c r="N13" s="31" t="s">
        <v>59</v>
      </c>
    </row>
    <row r="14" spans="1:14" s="2" customFormat="1" ht="18.75" x14ac:dyDescent="0.3">
      <c r="A14" s="47" t="s">
        <v>124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</row>
    <row r="15" spans="1:14" s="2" customFormat="1" ht="62.25" customHeight="1" x14ac:dyDescent="0.3">
      <c r="A15" s="13" t="s">
        <v>125</v>
      </c>
      <c r="B15" s="31" t="s">
        <v>21</v>
      </c>
      <c r="C15" s="31">
        <v>168.4</v>
      </c>
      <c r="D15" s="31">
        <v>166.5</v>
      </c>
      <c r="E15" s="31">
        <v>165.5</v>
      </c>
      <c r="F15" s="20">
        <v>164.1</v>
      </c>
      <c r="G15" s="20">
        <v>164.7</v>
      </c>
      <c r="H15" s="20">
        <v>165.3</v>
      </c>
      <c r="I15" s="20">
        <v>163.4</v>
      </c>
      <c r="J15" s="20">
        <v>164.1</v>
      </c>
      <c r="K15" s="20">
        <v>164.8</v>
      </c>
      <c r="L15" s="20">
        <v>162.6</v>
      </c>
      <c r="M15" s="20">
        <v>163.4</v>
      </c>
      <c r="N15" s="20">
        <v>164.2</v>
      </c>
    </row>
    <row r="16" spans="1:14" s="2" customFormat="1" ht="63.75" customHeight="1" x14ac:dyDescent="0.3">
      <c r="A16" s="13" t="s">
        <v>126</v>
      </c>
      <c r="B16" s="31" t="s">
        <v>21</v>
      </c>
      <c r="C16" s="31">
        <v>97.7</v>
      </c>
      <c r="D16" s="31">
        <v>95.6</v>
      </c>
      <c r="E16" s="31">
        <v>93.9</v>
      </c>
      <c r="F16" s="31">
        <v>92.7</v>
      </c>
      <c r="G16" s="31">
        <v>93.1</v>
      </c>
      <c r="H16" s="31">
        <v>93.9</v>
      </c>
      <c r="I16" s="14">
        <v>92</v>
      </c>
      <c r="J16" s="31">
        <v>92.7</v>
      </c>
      <c r="K16" s="31">
        <v>93.6</v>
      </c>
      <c r="L16" s="14">
        <v>91.5</v>
      </c>
      <c r="M16" s="31">
        <v>92.3</v>
      </c>
      <c r="N16" s="31">
        <v>93.3</v>
      </c>
    </row>
    <row r="17" spans="1:14" s="2" customFormat="1" ht="86.25" customHeight="1" x14ac:dyDescent="0.3">
      <c r="A17" s="13" t="s">
        <v>127</v>
      </c>
      <c r="B17" s="31" t="s">
        <v>21</v>
      </c>
      <c r="C17" s="31">
        <v>41.5</v>
      </c>
      <c r="D17" s="31">
        <v>41.8</v>
      </c>
      <c r="E17" s="31">
        <v>42.2</v>
      </c>
      <c r="F17" s="31">
        <v>42.5</v>
      </c>
      <c r="G17" s="31">
        <v>42.4</v>
      </c>
      <c r="H17" s="31">
        <v>42.3</v>
      </c>
      <c r="I17" s="31">
        <v>42.7</v>
      </c>
      <c r="J17" s="31">
        <v>42.5</v>
      </c>
      <c r="K17" s="31">
        <v>42.4</v>
      </c>
      <c r="L17" s="31">
        <v>42.9</v>
      </c>
      <c r="M17" s="31">
        <v>42.7</v>
      </c>
      <c r="N17" s="31">
        <v>42.6</v>
      </c>
    </row>
    <row r="18" spans="1:14" s="2" customFormat="1" ht="66" customHeight="1" x14ac:dyDescent="0.3">
      <c r="A18" s="13" t="s">
        <v>109</v>
      </c>
      <c r="B18" s="31" t="s">
        <v>110</v>
      </c>
      <c r="C18" s="31">
        <v>74.2</v>
      </c>
      <c r="D18" s="31">
        <v>74.5</v>
      </c>
      <c r="E18" s="31">
        <v>74.599999999999994</v>
      </c>
      <c r="F18" s="31">
        <v>74.2</v>
      </c>
      <c r="G18" s="31">
        <v>74.8</v>
      </c>
      <c r="H18" s="31">
        <v>74.900000000000006</v>
      </c>
      <c r="I18" s="31">
        <v>74.3</v>
      </c>
      <c r="J18" s="31">
        <v>75.2</v>
      </c>
      <c r="K18" s="31">
        <v>75.3</v>
      </c>
      <c r="L18" s="31">
        <v>74.400000000000006</v>
      </c>
      <c r="M18" s="31">
        <v>75.599999999999994</v>
      </c>
      <c r="N18" s="31">
        <v>75.7</v>
      </c>
    </row>
    <row r="19" spans="1:14" s="2" customFormat="1" ht="159.75" customHeight="1" x14ac:dyDescent="0.3">
      <c r="A19" s="13" t="s">
        <v>41</v>
      </c>
      <c r="B19" s="31" t="s">
        <v>128</v>
      </c>
      <c r="C19" s="31">
        <v>9.6</v>
      </c>
      <c r="D19" s="31">
        <v>9.5</v>
      </c>
      <c r="E19" s="31">
        <v>9.6</v>
      </c>
      <c r="F19" s="20">
        <v>9.6</v>
      </c>
      <c r="G19" s="20">
        <v>9.6</v>
      </c>
      <c r="H19" s="20">
        <v>9.6999999999999993</v>
      </c>
      <c r="I19" s="20">
        <v>9.3000000000000007</v>
      </c>
      <c r="J19" s="20">
        <v>9.4</v>
      </c>
      <c r="K19" s="20">
        <v>9.5</v>
      </c>
      <c r="L19" s="20">
        <v>9.1999999999999993</v>
      </c>
      <c r="M19" s="20">
        <v>9.3000000000000007</v>
      </c>
      <c r="N19" s="20">
        <v>9.4</v>
      </c>
    </row>
    <row r="20" spans="1:14" s="2" customFormat="1" ht="104.25" customHeight="1" x14ac:dyDescent="0.3">
      <c r="A20" s="13" t="s">
        <v>42</v>
      </c>
      <c r="B20" s="31" t="s">
        <v>43</v>
      </c>
      <c r="C20" s="31">
        <v>11.9</v>
      </c>
      <c r="D20" s="31">
        <v>12</v>
      </c>
      <c r="E20" s="31">
        <v>11.9</v>
      </c>
      <c r="F20" s="20">
        <v>12.2</v>
      </c>
      <c r="G20" s="20">
        <v>12</v>
      </c>
      <c r="H20" s="20">
        <v>11.9</v>
      </c>
      <c r="I20" s="20">
        <v>12.2</v>
      </c>
      <c r="J20" s="20">
        <v>12</v>
      </c>
      <c r="K20" s="20">
        <v>11.9</v>
      </c>
      <c r="L20" s="20">
        <v>12.1</v>
      </c>
      <c r="M20" s="20">
        <v>12</v>
      </c>
      <c r="N20" s="20">
        <v>11.9</v>
      </c>
    </row>
    <row r="21" spans="1:14" s="2" customFormat="1" ht="47.25" customHeight="1" x14ac:dyDescent="0.3">
      <c r="A21" s="13" t="s">
        <v>44</v>
      </c>
      <c r="B21" s="31" t="s">
        <v>45</v>
      </c>
      <c r="C21" s="31">
        <v>-2.36</v>
      </c>
      <c r="D21" s="31">
        <v>-2.5</v>
      </c>
      <c r="E21" s="31">
        <v>-2.2999999999999998</v>
      </c>
      <c r="F21" s="31">
        <v>-2.6</v>
      </c>
      <c r="G21" s="31">
        <v>-2.4</v>
      </c>
      <c r="H21" s="31">
        <v>-2.2000000000000002</v>
      </c>
      <c r="I21" s="31">
        <v>-2.9</v>
      </c>
      <c r="J21" s="31">
        <v>-2.6</v>
      </c>
      <c r="K21" s="31">
        <v>-2.4</v>
      </c>
      <c r="L21" s="31">
        <v>-2.9</v>
      </c>
      <c r="M21" s="31">
        <v>-2.7</v>
      </c>
      <c r="N21" s="31">
        <v>-2.5</v>
      </c>
    </row>
    <row r="22" spans="1:14" s="2" customFormat="1" ht="47.25" customHeight="1" x14ac:dyDescent="0.3">
      <c r="A22" s="13" t="s">
        <v>111</v>
      </c>
      <c r="B22" s="31" t="s">
        <v>21</v>
      </c>
      <c r="C22" s="31">
        <v>-1.9</v>
      </c>
      <c r="D22" s="31">
        <v>-1</v>
      </c>
      <c r="E22" s="31">
        <v>-0.9</v>
      </c>
      <c r="F22" s="31">
        <v>-1</v>
      </c>
      <c r="G22" s="31">
        <v>-0.8</v>
      </c>
      <c r="H22" s="31">
        <v>-0.7</v>
      </c>
      <c r="I22" s="31">
        <v>-1</v>
      </c>
      <c r="J22" s="31">
        <v>-0.8</v>
      </c>
      <c r="K22" s="31">
        <v>-0.7</v>
      </c>
      <c r="L22" s="31">
        <v>-0.9</v>
      </c>
      <c r="M22" s="31">
        <v>-0.7</v>
      </c>
      <c r="N22" s="31">
        <v>-0.5</v>
      </c>
    </row>
    <row r="23" spans="1:14" s="2" customFormat="1" ht="18.75" customHeight="1" x14ac:dyDescent="0.3">
      <c r="A23" s="47" t="s">
        <v>129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</row>
    <row r="24" spans="1:14" s="2" customFormat="1" ht="162" customHeight="1" x14ac:dyDescent="0.3">
      <c r="A24" s="15" t="s">
        <v>48</v>
      </c>
      <c r="B24" s="16" t="s">
        <v>46</v>
      </c>
      <c r="C24" s="31">
        <v>5489.6</v>
      </c>
      <c r="D24" s="31">
        <v>7693.8</v>
      </c>
      <c r="E24" s="31">
        <v>7770.7</v>
      </c>
      <c r="F24" s="31">
        <f>E24*F25/100</f>
        <v>7832.8655999999992</v>
      </c>
      <c r="G24" s="31">
        <f>E24*G25/100</f>
        <v>7967.29871</v>
      </c>
      <c r="H24" s="31">
        <f t="shared" ref="H24:N24" si="0">E24*H25/100</f>
        <v>8081.5279999999993</v>
      </c>
      <c r="I24" s="14">
        <f t="shared" si="0"/>
        <v>7911.1942559999998</v>
      </c>
      <c r="J24" s="14">
        <f t="shared" si="0"/>
        <v>8285.9906584</v>
      </c>
      <c r="K24" s="14">
        <f t="shared" si="0"/>
        <v>8485.6044000000002</v>
      </c>
      <c r="L24" s="14">
        <f t="shared" si="0"/>
        <v>7950.7502272799993</v>
      </c>
      <c r="M24" s="14">
        <f>J24*M25/100</f>
        <v>8534.5703781520006</v>
      </c>
      <c r="N24" s="14">
        <f t="shared" si="0"/>
        <v>8841.9997848000003</v>
      </c>
    </row>
    <row r="25" spans="1:14" s="2" customFormat="1" ht="103.5" customHeight="1" x14ac:dyDescent="0.3">
      <c r="A25" s="15" t="s">
        <v>49</v>
      </c>
      <c r="B25" s="16" t="s">
        <v>36</v>
      </c>
      <c r="C25" s="31">
        <v>106.2</v>
      </c>
      <c r="D25" s="14">
        <v>140</v>
      </c>
      <c r="E25" s="14">
        <v>101</v>
      </c>
      <c r="F25" s="14">
        <v>100.8</v>
      </c>
      <c r="G25" s="14">
        <v>102.53</v>
      </c>
      <c r="H25" s="14">
        <v>104</v>
      </c>
      <c r="I25" s="14">
        <v>101</v>
      </c>
      <c r="J25" s="14">
        <v>104</v>
      </c>
      <c r="K25" s="14">
        <v>105</v>
      </c>
      <c r="L25" s="14">
        <v>100.5</v>
      </c>
      <c r="M25" s="14">
        <v>103</v>
      </c>
      <c r="N25" s="14">
        <v>104.2</v>
      </c>
    </row>
    <row r="26" spans="1:14" s="2" customFormat="1" ht="137.25" customHeight="1" x14ac:dyDescent="0.3">
      <c r="A26" s="15" t="s">
        <v>65</v>
      </c>
      <c r="B26" s="16" t="s">
        <v>46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spans="1:14" s="2" customFormat="1" ht="93.75" customHeight="1" x14ac:dyDescent="0.3">
      <c r="A27" s="15" t="s">
        <v>66</v>
      </c>
      <c r="B27" s="16" t="s">
        <v>36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8" spans="1:14" s="2" customFormat="1" ht="137.25" customHeight="1" x14ac:dyDescent="0.3">
      <c r="A28" s="15" t="s">
        <v>67</v>
      </c>
      <c r="B28" s="17" t="s">
        <v>46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</row>
    <row r="29" spans="1:14" s="2" customFormat="1" ht="102" customHeight="1" x14ac:dyDescent="0.3">
      <c r="A29" s="15" t="s">
        <v>68</v>
      </c>
      <c r="B29" s="17" t="s">
        <v>36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spans="1:14" s="2" customFormat="1" ht="137.25" customHeight="1" x14ac:dyDescent="0.3">
      <c r="A30" s="15" t="s">
        <v>69</v>
      </c>
      <c r="B30" s="17" t="s">
        <v>46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  <row r="31" spans="1:14" s="2" customFormat="1" ht="115.5" customHeight="1" x14ac:dyDescent="0.3">
      <c r="A31" s="15" t="s">
        <v>70</v>
      </c>
      <c r="B31" s="17" t="s">
        <v>36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</row>
    <row r="32" spans="1:14" s="2" customFormat="1" ht="137.25" customHeight="1" x14ac:dyDescent="0.3">
      <c r="A32" s="15" t="s">
        <v>71</v>
      </c>
      <c r="B32" s="17" t="s">
        <v>46</v>
      </c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  <row r="33" spans="1:14" s="2" customFormat="1" ht="137.25" customHeight="1" x14ac:dyDescent="0.3">
      <c r="A33" s="15" t="s">
        <v>61</v>
      </c>
      <c r="B33" s="17" t="s">
        <v>36</v>
      </c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</row>
    <row r="34" spans="1:14" s="2" customFormat="1" ht="137.25" customHeight="1" x14ac:dyDescent="0.3">
      <c r="A34" s="15" t="s">
        <v>72</v>
      </c>
      <c r="B34" s="17" t="s">
        <v>46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</row>
    <row r="35" spans="1:14" s="2" customFormat="1" ht="105.75" customHeight="1" x14ac:dyDescent="0.3">
      <c r="A35" s="15" t="s">
        <v>73</v>
      </c>
      <c r="B35" s="17" t="s">
        <v>36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  <row r="36" spans="1:14" s="2" customFormat="1" ht="174.75" customHeight="1" x14ac:dyDescent="0.3">
      <c r="A36" s="15" t="s">
        <v>74</v>
      </c>
      <c r="B36" s="16" t="s">
        <v>46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</row>
    <row r="37" spans="1:14" s="2" customFormat="1" ht="137.25" customHeight="1" x14ac:dyDescent="0.3">
      <c r="A37" s="15" t="s">
        <v>75</v>
      </c>
      <c r="B37" s="16" t="s">
        <v>36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</row>
    <row r="38" spans="1:14" s="2" customFormat="1" ht="137.25" customHeight="1" x14ac:dyDescent="0.3">
      <c r="A38" s="15" t="s">
        <v>62</v>
      </c>
      <c r="B38" s="16" t="s">
        <v>46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</row>
    <row r="39" spans="1:14" s="2" customFormat="1" ht="110.25" customHeight="1" x14ac:dyDescent="0.3">
      <c r="A39" s="15" t="s">
        <v>63</v>
      </c>
      <c r="B39" s="16" t="s">
        <v>36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1:14" s="2" customFormat="1" ht="193.5" customHeight="1" x14ac:dyDescent="0.3">
      <c r="A40" s="15" t="s">
        <v>64</v>
      </c>
      <c r="B40" s="17" t="s">
        <v>46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</row>
    <row r="41" spans="1:14" s="2" customFormat="1" ht="137.25" customHeight="1" x14ac:dyDescent="0.3">
      <c r="A41" s="15" t="s">
        <v>76</v>
      </c>
      <c r="B41" s="17" t="s">
        <v>36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</row>
    <row r="42" spans="1:14" s="2" customFormat="1" ht="187.5" customHeight="1" x14ac:dyDescent="0.3">
      <c r="A42" s="15" t="s">
        <v>98</v>
      </c>
      <c r="B42" s="16" t="s">
        <v>46</v>
      </c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</row>
    <row r="43" spans="1:14" s="2" customFormat="1" ht="108.75" customHeight="1" x14ac:dyDescent="0.3">
      <c r="A43" s="15" t="s">
        <v>99</v>
      </c>
      <c r="B43" s="16" t="s">
        <v>36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</row>
    <row r="44" spans="1:14" s="2" customFormat="1" ht="190.5" customHeight="1" x14ac:dyDescent="0.3">
      <c r="A44" s="15" t="s">
        <v>77</v>
      </c>
      <c r="B44" s="17" t="s">
        <v>46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</row>
    <row r="45" spans="1:14" s="2" customFormat="1" ht="120.75" customHeight="1" x14ac:dyDescent="0.3">
      <c r="A45" s="15" t="s">
        <v>78</v>
      </c>
      <c r="B45" s="17" t="s">
        <v>36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1:14" s="2" customFormat="1" ht="137.25" customHeight="1" x14ac:dyDescent="0.3">
      <c r="A46" s="15" t="s">
        <v>79</v>
      </c>
      <c r="B46" s="16" t="s">
        <v>46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14" s="2" customFormat="1" ht="137.25" customHeight="1" x14ac:dyDescent="0.3">
      <c r="A47" s="15" t="s">
        <v>80</v>
      </c>
      <c r="B47" s="16" t="s">
        <v>36</v>
      </c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14" s="2" customFormat="1" ht="137.25" customHeight="1" x14ac:dyDescent="0.3">
      <c r="A48" s="15" t="s">
        <v>81</v>
      </c>
      <c r="B48" s="16" t="s">
        <v>46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</row>
    <row r="49" spans="1:14" s="2" customFormat="1" ht="137.25" customHeight="1" x14ac:dyDescent="0.3">
      <c r="A49" s="15" t="s">
        <v>82</v>
      </c>
      <c r="B49" s="16" t="s">
        <v>36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</row>
    <row r="50" spans="1:14" s="2" customFormat="1" ht="137.25" customHeight="1" x14ac:dyDescent="0.3">
      <c r="A50" s="15" t="s">
        <v>83</v>
      </c>
      <c r="B50" s="16" t="s">
        <v>46</v>
      </c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</row>
    <row r="51" spans="1:14" s="2" customFormat="1" ht="111" customHeight="1" x14ac:dyDescent="0.3">
      <c r="A51" s="15" t="s">
        <v>84</v>
      </c>
      <c r="B51" s="16" t="s">
        <v>36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2" spans="1:14" s="2" customFormat="1" ht="179.25" customHeight="1" x14ac:dyDescent="0.3">
      <c r="A52" s="15" t="s">
        <v>85</v>
      </c>
      <c r="B52" s="17" t="s">
        <v>46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s="2" customFormat="1" ht="137.25" customHeight="1" x14ac:dyDescent="0.3">
      <c r="A53" s="15" t="s">
        <v>86</v>
      </c>
      <c r="B53" s="17" t="s">
        <v>36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</row>
    <row r="54" spans="1:14" s="2" customFormat="1" ht="170.25" customHeight="1" x14ac:dyDescent="0.3">
      <c r="A54" s="15" t="s">
        <v>87</v>
      </c>
      <c r="B54" s="17" t="s">
        <v>46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1:14" s="2" customFormat="1" ht="137.25" customHeight="1" x14ac:dyDescent="0.3">
      <c r="A55" s="15" t="s">
        <v>88</v>
      </c>
      <c r="B55" s="17" t="s">
        <v>36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1:14" s="2" customFormat="1" ht="168.75" customHeight="1" x14ac:dyDescent="0.3">
      <c r="A56" s="15" t="s">
        <v>89</v>
      </c>
      <c r="B56" s="16" t="s">
        <v>46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</row>
    <row r="57" spans="1:14" s="2" customFormat="1" ht="119.25" customHeight="1" x14ac:dyDescent="0.3">
      <c r="A57" s="15" t="s">
        <v>90</v>
      </c>
      <c r="B57" s="16" t="s">
        <v>36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1:14" s="2" customFormat="1" ht="179.25" customHeight="1" x14ac:dyDescent="0.3">
      <c r="A58" s="15" t="s">
        <v>91</v>
      </c>
      <c r="B58" s="17" t="s">
        <v>46</v>
      </c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</row>
    <row r="59" spans="1:14" s="2" customFormat="1" ht="137.25" customHeight="1" x14ac:dyDescent="0.3">
      <c r="A59" s="15" t="s">
        <v>92</v>
      </c>
      <c r="B59" s="17" t="s">
        <v>36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1:14" s="2" customFormat="1" ht="137.25" customHeight="1" x14ac:dyDescent="0.3">
      <c r="A60" s="15" t="s">
        <v>93</v>
      </c>
      <c r="B60" s="17" t="s">
        <v>46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</row>
    <row r="61" spans="1:14" s="2" customFormat="1" ht="137.25" customHeight="1" x14ac:dyDescent="0.3">
      <c r="A61" s="15" t="s">
        <v>94</v>
      </c>
      <c r="B61" s="17" t="s">
        <v>36</v>
      </c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</row>
    <row r="62" spans="1:14" s="2" customFormat="1" ht="137.25" customHeight="1" x14ac:dyDescent="0.3">
      <c r="A62" s="15" t="s">
        <v>95</v>
      </c>
      <c r="B62" s="17" t="s">
        <v>46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1:14" s="2" customFormat="1" ht="137.25" customHeight="1" x14ac:dyDescent="0.3">
      <c r="A63" s="15" t="s">
        <v>96</v>
      </c>
      <c r="B63" s="17" t="s">
        <v>36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1:14" s="2" customFormat="1" ht="18.75" customHeight="1" x14ac:dyDescent="0.3">
      <c r="A64" s="47" t="s">
        <v>50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</row>
    <row r="65" spans="1:14" s="2" customFormat="1" ht="140.25" customHeight="1" x14ac:dyDescent="0.3">
      <c r="A65" s="15" t="s">
        <v>97</v>
      </c>
      <c r="B65" s="17" t="s">
        <v>46</v>
      </c>
      <c r="C65" s="10">
        <v>648</v>
      </c>
      <c r="D65" s="31">
        <v>656.9</v>
      </c>
      <c r="E65" s="31">
        <v>689.7</v>
      </c>
      <c r="F65" s="14">
        <f>E65*F66/100</f>
        <v>700.04550000000006</v>
      </c>
      <c r="G65" s="14">
        <f>E65*G66/100</f>
        <v>713.83950000000016</v>
      </c>
      <c r="H65" s="14">
        <f t="shared" ref="H65:N65" si="1">E65*H66/100</f>
        <v>717.28800000000001</v>
      </c>
      <c r="I65" s="14">
        <f t="shared" si="1"/>
        <v>707.04595500000005</v>
      </c>
      <c r="J65" s="14">
        <f t="shared" si="1"/>
        <v>735.25468500000022</v>
      </c>
      <c r="K65" s="14">
        <f t="shared" si="1"/>
        <v>745.97952000000009</v>
      </c>
      <c r="L65" s="14">
        <f t="shared" si="1"/>
        <v>717.65164432500012</v>
      </c>
      <c r="M65" s="14">
        <f t="shared" si="1"/>
        <v>760.98859897500017</v>
      </c>
      <c r="N65" s="14">
        <f t="shared" si="1"/>
        <v>775.8187008000001</v>
      </c>
    </row>
    <row r="66" spans="1:14" s="2" customFormat="1" ht="106.5" customHeight="1" x14ac:dyDescent="0.3">
      <c r="A66" s="15" t="s">
        <v>60</v>
      </c>
      <c r="B66" s="17" t="s">
        <v>36</v>
      </c>
      <c r="C66" s="10">
        <v>106.3</v>
      </c>
      <c r="D66" s="14">
        <v>101.4</v>
      </c>
      <c r="E66" s="14">
        <v>105</v>
      </c>
      <c r="F66" s="14">
        <v>101.5</v>
      </c>
      <c r="G66" s="14">
        <v>103.5</v>
      </c>
      <c r="H66" s="14">
        <v>104</v>
      </c>
      <c r="I66" s="14">
        <v>101</v>
      </c>
      <c r="J66" s="14">
        <v>103</v>
      </c>
      <c r="K66" s="14">
        <v>104</v>
      </c>
      <c r="L66" s="14">
        <v>101.5</v>
      </c>
      <c r="M66" s="14">
        <v>103.5</v>
      </c>
      <c r="N66" s="14">
        <v>104</v>
      </c>
    </row>
    <row r="67" spans="1:14" s="2" customFormat="1" ht="35.25" customHeight="1" x14ac:dyDescent="0.3">
      <c r="A67" s="47" t="s">
        <v>53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</row>
    <row r="68" spans="1:14" s="2" customFormat="1" ht="157.5" customHeight="1" x14ac:dyDescent="0.3">
      <c r="A68" s="15" t="s">
        <v>51</v>
      </c>
      <c r="B68" s="16" t="s">
        <v>46</v>
      </c>
      <c r="C68" s="10">
        <v>672.9</v>
      </c>
      <c r="D68" s="31">
        <v>693.2</v>
      </c>
      <c r="E68" s="31">
        <v>727.9</v>
      </c>
      <c r="F68" s="14">
        <f>E68*F69/100</f>
        <v>738.81849999999986</v>
      </c>
      <c r="G68" s="14">
        <f>E68*G69/100</f>
        <v>753.37649999999996</v>
      </c>
      <c r="H68" s="14">
        <f t="shared" ref="H68:N68" si="2">E68*H69/100</f>
        <v>757.01599999999996</v>
      </c>
      <c r="I68" s="14">
        <f t="shared" si="2"/>
        <v>746.20668499999988</v>
      </c>
      <c r="J68" s="14">
        <f t="shared" si="2"/>
        <v>775.9777949999999</v>
      </c>
      <c r="K68" s="14">
        <f t="shared" si="2"/>
        <v>787.29663999999991</v>
      </c>
      <c r="L68" s="14">
        <f t="shared" si="2"/>
        <v>757.39978527499989</v>
      </c>
      <c r="M68" s="14">
        <f t="shared" si="2"/>
        <v>803.13701782499993</v>
      </c>
      <c r="N68" s="14">
        <f t="shared" si="2"/>
        <v>818.78850559999989</v>
      </c>
    </row>
    <row r="69" spans="1:14" s="2" customFormat="1" ht="174" customHeight="1" x14ac:dyDescent="0.3">
      <c r="A69" s="15" t="s">
        <v>52</v>
      </c>
      <c r="B69" s="16" t="s">
        <v>36</v>
      </c>
      <c r="C69" s="32">
        <v>106.8</v>
      </c>
      <c r="D69" s="14">
        <v>103</v>
      </c>
      <c r="E69" s="14">
        <v>105</v>
      </c>
      <c r="F69" s="14">
        <v>101.5</v>
      </c>
      <c r="G69" s="14">
        <v>103.5</v>
      </c>
      <c r="H69" s="14">
        <v>104</v>
      </c>
      <c r="I69" s="14">
        <v>101</v>
      </c>
      <c r="J69" s="14">
        <v>103</v>
      </c>
      <c r="K69" s="14">
        <v>104</v>
      </c>
      <c r="L69" s="14">
        <v>101.5</v>
      </c>
      <c r="M69" s="14">
        <v>103.5</v>
      </c>
      <c r="N69" s="14">
        <v>104</v>
      </c>
    </row>
    <row r="70" spans="1:14" s="2" customFormat="1" ht="18.75" x14ac:dyDescent="0.3">
      <c r="A70" s="47" t="s">
        <v>131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</row>
    <row r="71" spans="1:14" s="2" customFormat="1" ht="52.5" customHeight="1" x14ac:dyDescent="0.3">
      <c r="A71" s="13" t="s">
        <v>0</v>
      </c>
      <c r="B71" s="31" t="s">
        <v>210</v>
      </c>
      <c r="C71" s="18">
        <v>8883.1</v>
      </c>
      <c r="D71" s="18">
        <v>8260</v>
      </c>
      <c r="E71" s="31">
        <v>8080</v>
      </c>
      <c r="F71" s="18">
        <f t="shared" ref="F71:N71" si="3">F73+F75</f>
        <v>8280.9079439999987</v>
      </c>
      <c r="G71" s="18">
        <f t="shared" si="3"/>
        <v>8393.5624299999999</v>
      </c>
      <c r="H71" s="18">
        <f t="shared" si="3"/>
        <v>8407.3392200000017</v>
      </c>
      <c r="I71" s="18">
        <f t="shared" si="3"/>
        <v>8315.5277438580597</v>
      </c>
      <c r="J71" s="18">
        <f t="shared" si="3"/>
        <v>8672.837620883698</v>
      </c>
      <c r="K71" s="18">
        <f t="shared" si="3"/>
        <v>8701.2881976458011</v>
      </c>
      <c r="L71" s="18">
        <f t="shared" si="3"/>
        <v>8667.379148621174</v>
      </c>
      <c r="M71" s="18">
        <f t="shared" si="3"/>
        <v>9043.5184999369649</v>
      </c>
      <c r="N71" s="18">
        <f t="shared" si="3"/>
        <v>9088.0653112662931</v>
      </c>
    </row>
    <row r="72" spans="1:14" s="2" customFormat="1" ht="126.75" customHeight="1" x14ac:dyDescent="0.3">
      <c r="A72" s="13" t="s">
        <v>1</v>
      </c>
      <c r="B72" s="31" t="s">
        <v>130</v>
      </c>
      <c r="C72" s="14">
        <v>101.2</v>
      </c>
      <c r="D72" s="14">
        <v>92.2</v>
      </c>
      <c r="E72" s="31">
        <v>89.4</v>
      </c>
      <c r="F72" s="14">
        <f>F71/104.9%/E71*100</f>
        <v>97.699222550472371</v>
      </c>
      <c r="G72" s="14">
        <f>G71/103.7%/E71*100</f>
        <v>100.17427496968598</v>
      </c>
      <c r="H72" s="14">
        <f>H71/103.7%/E71*100</f>
        <v>100.33869621050823</v>
      </c>
      <c r="I72" s="14">
        <f>I71/104.2%/F71*100</f>
        <v>96.370506412297402</v>
      </c>
      <c r="J72" s="14">
        <f>J71/103.1%/G71*100</f>
        <v>100.22042151894549</v>
      </c>
      <c r="K72" s="14">
        <f>K71/103.1%/H71*100</f>
        <v>100.38442073950399</v>
      </c>
      <c r="L72" s="14">
        <f>L71/104.2%/I71*100</f>
        <v>100.02999775583849</v>
      </c>
      <c r="M72" s="14">
        <f>M71/103.9%/J71*100</f>
        <v>100.36000366217712</v>
      </c>
      <c r="N72" s="14">
        <f>N71/103.9%/K71*100</f>
        <v>100.52459651208201</v>
      </c>
    </row>
    <row r="73" spans="1:14" s="2" customFormat="1" ht="75.75" customHeight="1" x14ac:dyDescent="0.3">
      <c r="A73" s="13" t="s">
        <v>2</v>
      </c>
      <c r="B73" s="31" t="s">
        <v>210</v>
      </c>
      <c r="C73" s="18">
        <v>6136.1</v>
      </c>
      <c r="D73" s="18">
        <v>5328.8</v>
      </c>
      <c r="E73" s="31">
        <v>5230</v>
      </c>
      <c r="F73" s="18">
        <f>E73*105.4%*F74%</f>
        <v>5406.0302939999992</v>
      </c>
      <c r="G73" s="18">
        <f>E73*103.4%*G74%</f>
        <v>5429.4512799999993</v>
      </c>
      <c r="H73" s="18">
        <f>E73*103.4%*H74%</f>
        <v>5440.26692</v>
      </c>
      <c r="I73" s="18">
        <f>F73*104.4%*I74%</f>
        <v>5418.1398018585596</v>
      </c>
      <c r="J73" s="18">
        <f>G73*102.5%*J74%</f>
        <v>5593.0134998099984</v>
      </c>
      <c r="K73" s="18">
        <f>H73*102.5%*K74%</f>
        <v>5615.3075081510005</v>
      </c>
      <c r="L73" s="18">
        <f>I73*104.2%*L74%</f>
        <v>5656.993076883693</v>
      </c>
      <c r="M73" s="18">
        <f>J73*103.8%*M74%</f>
        <v>5840.3813008795951</v>
      </c>
      <c r="N73" s="18">
        <f>K73*103.8%*N74%</f>
        <v>5875.3187070084241</v>
      </c>
    </row>
    <row r="74" spans="1:14" s="2" customFormat="1" ht="112.5" x14ac:dyDescent="0.3">
      <c r="A74" s="13" t="s">
        <v>3</v>
      </c>
      <c r="B74" s="31" t="s">
        <v>130</v>
      </c>
      <c r="C74" s="14">
        <v>103</v>
      </c>
      <c r="D74" s="14">
        <v>85.8</v>
      </c>
      <c r="E74" s="31">
        <v>89.4</v>
      </c>
      <c r="F74" s="14">
        <v>98.07</v>
      </c>
      <c r="G74" s="14">
        <v>100.4</v>
      </c>
      <c r="H74" s="14">
        <v>100.6</v>
      </c>
      <c r="I74" s="14">
        <v>96</v>
      </c>
      <c r="J74" s="14">
        <v>100.5</v>
      </c>
      <c r="K74" s="14">
        <v>100.7</v>
      </c>
      <c r="L74" s="14">
        <v>100.2</v>
      </c>
      <c r="M74" s="14">
        <v>100.6</v>
      </c>
      <c r="N74" s="14">
        <v>100.8</v>
      </c>
    </row>
    <row r="75" spans="1:14" s="2" customFormat="1" ht="18.75" x14ac:dyDescent="0.3">
      <c r="A75" s="13" t="s">
        <v>4</v>
      </c>
      <c r="B75" s="31" t="s">
        <v>210</v>
      </c>
      <c r="C75" s="18">
        <v>2747</v>
      </c>
      <c r="D75" s="18">
        <v>2931.2</v>
      </c>
      <c r="E75" s="31">
        <v>2850</v>
      </c>
      <c r="F75" s="18">
        <f>E75*104.1%*F76%</f>
        <v>2874.8776500000004</v>
      </c>
      <c r="G75" s="18">
        <f>E75*103.9%*G76%</f>
        <v>2964.1111500000002</v>
      </c>
      <c r="H75" s="18">
        <f>E75*103.9%*H76%</f>
        <v>2967.0723000000007</v>
      </c>
      <c r="I75" s="18">
        <f>F75*103.9%*I76%</f>
        <v>2897.387941999501</v>
      </c>
      <c r="J75" s="18">
        <f>G75*103.8%*J76%</f>
        <v>3079.8241210737001</v>
      </c>
      <c r="K75" s="18">
        <f>H75*103.8%*K76%</f>
        <v>3085.9806894948006</v>
      </c>
      <c r="L75" s="18">
        <f>I75*103.9%*L76%</f>
        <v>3010.3860717374819</v>
      </c>
      <c r="M75" s="18">
        <f>J75*103.9%*M76%</f>
        <v>3203.1371990573703</v>
      </c>
      <c r="N75" s="18">
        <f>K75*103.9%*N76%</f>
        <v>3212.7466042578685</v>
      </c>
    </row>
    <row r="76" spans="1:14" s="2" customFormat="1" ht="119.25" customHeight="1" x14ac:dyDescent="0.3">
      <c r="A76" s="13" t="s">
        <v>5</v>
      </c>
      <c r="B76" s="31" t="s">
        <v>130</v>
      </c>
      <c r="C76" s="14">
        <v>100.2</v>
      </c>
      <c r="D76" s="14">
        <v>106.4</v>
      </c>
      <c r="E76" s="31">
        <v>90.9</v>
      </c>
      <c r="F76" s="14">
        <v>96.9</v>
      </c>
      <c r="G76" s="14">
        <v>100.1</v>
      </c>
      <c r="H76" s="14">
        <v>100.2</v>
      </c>
      <c r="I76" s="14">
        <v>97</v>
      </c>
      <c r="J76" s="14">
        <v>100.1</v>
      </c>
      <c r="K76" s="14">
        <v>100.2</v>
      </c>
      <c r="L76" s="14">
        <v>100</v>
      </c>
      <c r="M76" s="14">
        <v>100.1</v>
      </c>
      <c r="N76" s="14">
        <v>100.2</v>
      </c>
    </row>
    <row r="77" spans="1:14" s="2" customFormat="1" ht="18.75" customHeight="1" x14ac:dyDescent="0.3">
      <c r="A77" s="47" t="s">
        <v>180</v>
      </c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</row>
    <row r="78" spans="1:14" s="2" customFormat="1" ht="45.75" customHeight="1" x14ac:dyDescent="0.3">
      <c r="A78" s="19" t="s">
        <v>6</v>
      </c>
      <c r="B78" s="16" t="s">
        <v>7</v>
      </c>
      <c r="C78" s="20">
        <v>457.9</v>
      </c>
      <c r="D78" s="20">
        <v>412</v>
      </c>
      <c r="E78" s="20">
        <v>362</v>
      </c>
      <c r="F78" s="20">
        <v>364</v>
      </c>
      <c r="G78" s="20">
        <v>366</v>
      </c>
      <c r="H78" s="20">
        <v>368</v>
      </c>
      <c r="I78" s="20">
        <v>366</v>
      </c>
      <c r="J78" s="20">
        <v>368</v>
      </c>
      <c r="K78" s="20">
        <v>370</v>
      </c>
      <c r="L78" s="20">
        <v>367</v>
      </c>
      <c r="M78" s="20">
        <v>369</v>
      </c>
      <c r="N78" s="20">
        <v>371</v>
      </c>
    </row>
    <row r="79" spans="1:14" s="2" customFormat="1" ht="45.75" customHeight="1" x14ac:dyDescent="0.3">
      <c r="A79" s="19" t="s">
        <v>8</v>
      </c>
      <c r="B79" s="16" t="s">
        <v>7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</row>
    <row r="80" spans="1:14" s="2" customFormat="1" ht="45.75" customHeight="1" x14ac:dyDescent="0.3">
      <c r="A80" s="19" t="s">
        <v>9</v>
      </c>
      <c r="B80" s="16" t="s">
        <v>7</v>
      </c>
      <c r="C80" s="20">
        <v>50</v>
      </c>
      <c r="D80" s="20">
        <v>39.799999999999997</v>
      </c>
      <c r="E80" s="20">
        <v>28.4</v>
      </c>
      <c r="F80" s="20">
        <v>44</v>
      </c>
      <c r="G80" s="20">
        <v>44.5</v>
      </c>
      <c r="H80" s="20">
        <v>45</v>
      </c>
      <c r="I80" s="20">
        <v>45</v>
      </c>
      <c r="J80" s="20">
        <v>45.5</v>
      </c>
      <c r="K80" s="20">
        <v>46</v>
      </c>
      <c r="L80" s="20">
        <v>46</v>
      </c>
      <c r="M80" s="20">
        <v>46.5</v>
      </c>
      <c r="N80" s="20">
        <v>47</v>
      </c>
    </row>
    <row r="81" spans="1:14" s="2" customFormat="1" ht="45.75" customHeight="1" x14ac:dyDescent="0.3">
      <c r="A81" s="19" t="s">
        <v>10</v>
      </c>
      <c r="B81" s="16" t="s">
        <v>7</v>
      </c>
      <c r="C81" s="20">
        <v>34.700000000000003</v>
      </c>
      <c r="D81" s="20">
        <v>28.2</v>
      </c>
      <c r="E81" s="20">
        <v>21.5</v>
      </c>
      <c r="F81" s="20">
        <v>28.5</v>
      </c>
      <c r="G81" s="20">
        <v>28.6</v>
      </c>
      <c r="H81" s="20">
        <v>29</v>
      </c>
      <c r="I81" s="20">
        <v>28</v>
      </c>
      <c r="J81" s="20">
        <v>29</v>
      </c>
      <c r="K81" s="20">
        <v>30</v>
      </c>
      <c r="L81" s="20">
        <v>29.5</v>
      </c>
      <c r="M81" s="20">
        <v>30</v>
      </c>
      <c r="N81" s="20">
        <v>30.5</v>
      </c>
    </row>
    <row r="82" spans="1:14" s="2" customFormat="1" ht="45.75" customHeight="1" x14ac:dyDescent="0.3">
      <c r="A82" s="19" t="s">
        <v>11</v>
      </c>
      <c r="B82" s="16" t="s">
        <v>7</v>
      </c>
      <c r="C82" s="20">
        <v>9.3000000000000007</v>
      </c>
      <c r="D82" s="20">
        <v>9.1</v>
      </c>
      <c r="E82" s="20">
        <v>8.1</v>
      </c>
      <c r="F82" s="20">
        <v>8.1</v>
      </c>
      <c r="G82" s="20">
        <v>8.1999999999999993</v>
      </c>
      <c r="H82" s="20">
        <v>8.5</v>
      </c>
      <c r="I82" s="20">
        <v>8.1</v>
      </c>
      <c r="J82" s="20">
        <v>8.1999999999999993</v>
      </c>
      <c r="K82" s="20">
        <v>8.5</v>
      </c>
      <c r="L82" s="20">
        <v>8.1</v>
      </c>
      <c r="M82" s="20">
        <v>8.1999999999999993</v>
      </c>
      <c r="N82" s="20">
        <v>8.5</v>
      </c>
    </row>
    <row r="83" spans="1:14" s="2" customFormat="1" ht="45.75" customHeight="1" x14ac:dyDescent="0.3">
      <c r="A83" s="19" t="s">
        <v>12</v>
      </c>
      <c r="B83" s="16" t="s">
        <v>7</v>
      </c>
      <c r="C83" s="20">
        <v>10.7</v>
      </c>
      <c r="D83" s="20">
        <v>8.5</v>
      </c>
      <c r="E83" s="20">
        <v>7.3</v>
      </c>
      <c r="F83" s="20">
        <v>7.3</v>
      </c>
      <c r="G83" s="20">
        <v>7.5</v>
      </c>
      <c r="H83" s="20">
        <v>7.7</v>
      </c>
      <c r="I83" s="20">
        <v>9.4</v>
      </c>
      <c r="J83" s="20">
        <v>9.5</v>
      </c>
      <c r="K83" s="20">
        <v>9.6</v>
      </c>
      <c r="L83" s="20">
        <v>9.5</v>
      </c>
      <c r="M83" s="20">
        <v>9.6</v>
      </c>
      <c r="N83" s="20">
        <v>9.6999999999999993</v>
      </c>
    </row>
    <row r="84" spans="1:14" s="2" customFormat="1" ht="45.75" customHeight="1" x14ac:dyDescent="0.3">
      <c r="A84" s="19" t="s">
        <v>13</v>
      </c>
      <c r="B84" s="16" t="s">
        <v>7</v>
      </c>
      <c r="C84" s="20">
        <v>25.7</v>
      </c>
      <c r="D84" s="20">
        <v>28.7</v>
      </c>
      <c r="E84" s="20">
        <v>29.2</v>
      </c>
      <c r="F84" s="20">
        <v>19.649999999999999</v>
      </c>
      <c r="G84" s="20">
        <v>23</v>
      </c>
      <c r="H84" s="20">
        <v>23.5</v>
      </c>
      <c r="I84" s="20">
        <v>19.7</v>
      </c>
      <c r="J84" s="20">
        <v>23</v>
      </c>
      <c r="K84" s="20">
        <v>23.5</v>
      </c>
      <c r="L84" s="20">
        <v>20</v>
      </c>
      <c r="M84" s="20">
        <v>23.5</v>
      </c>
      <c r="N84" s="20">
        <v>23.9</v>
      </c>
    </row>
    <row r="85" spans="1:14" s="2" customFormat="1" ht="45.75" customHeight="1" x14ac:dyDescent="0.3">
      <c r="A85" s="19" t="s">
        <v>14</v>
      </c>
      <c r="B85" s="16" t="s">
        <v>7</v>
      </c>
      <c r="C85" s="20">
        <v>13</v>
      </c>
      <c r="D85" s="20">
        <v>12.6</v>
      </c>
      <c r="E85" s="20">
        <v>13.7</v>
      </c>
      <c r="F85" s="20">
        <v>13.7</v>
      </c>
      <c r="G85" s="20">
        <v>13.9</v>
      </c>
      <c r="H85" s="20">
        <v>14</v>
      </c>
      <c r="I85" s="20">
        <v>13.7</v>
      </c>
      <c r="J85" s="20">
        <v>13.9</v>
      </c>
      <c r="K85" s="20">
        <v>14</v>
      </c>
      <c r="L85" s="20">
        <v>13.7</v>
      </c>
      <c r="M85" s="20">
        <v>13.9</v>
      </c>
      <c r="N85" s="20">
        <v>14</v>
      </c>
    </row>
    <row r="86" spans="1:14" s="2" customFormat="1" ht="45.75" customHeight="1" x14ac:dyDescent="0.3">
      <c r="A86" s="19" t="s">
        <v>15</v>
      </c>
      <c r="B86" s="16" t="s">
        <v>211</v>
      </c>
      <c r="C86" s="20">
        <v>66.3</v>
      </c>
      <c r="D86" s="20">
        <v>62.7</v>
      </c>
      <c r="E86" s="20">
        <v>51.8</v>
      </c>
      <c r="F86" s="20">
        <v>51.8</v>
      </c>
      <c r="G86" s="20">
        <v>52.3</v>
      </c>
      <c r="H86" s="20">
        <v>52.8</v>
      </c>
      <c r="I86" s="20">
        <v>51.8</v>
      </c>
      <c r="J86" s="20">
        <v>52.3</v>
      </c>
      <c r="K86" s="20">
        <v>52.8</v>
      </c>
      <c r="L86" s="20">
        <v>51.8</v>
      </c>
      <c r="M86" s="20">
        <v>52.3</v>
      </c>
      <c r="N86" s="20">
        <v>52.8</v>
      </c>
    </row>
    <row r="87" spans="1:14" s="2" customFormat="1" ht="18.75" x14ac:dyDescent="0.3">
      <c r="A87" s="47" t="s">
        <v>132</v>
      </c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</row>
    <row r="88" spans="1:14" s="2" customFormat="1" ht="75" x14ac:dyDescent="0.3">
      <c r="A88" s="13" t="s">
        <v>213</v>
      </c>
      <c r="B88" s="31" t="s">
        <v>133</v>
      </c>
      <c r="C88" s="7">
        <v>502.8</v>
      </c>
      <c r="D88" s="18">
        <v>475</v>
      </c>
      <c r="E88" s="18">
        <v>461</v>
      </c>
      <c r="F88" s="7">
        <f>E88*105.3/100*F89/100</f>
        <v>475.72433999999993</v>
      </c>
      <c r="G88" s="7">
        <f>E88*105.3/100*G89/100</f>
        <v>476.69520599999998</v>
      </c>
      <c r="H88" s="7">
        <f>E88*105.3/100*H89/100</f>
        <v>478.15150499999999</v>
      </c>
      <c r="I88" s="7">
        <f>F88*105.1/100*I89/100</f>
        <v>489.98655571319995</v>
      </c>
      <c r="J88" s="7">
        <f>G88*105.1/100*J89/100</f>
        <v>491.98854159889197</v>
      </c>
      <c r="K88" s="7">
        <f>H88*105.1/100*K89/100</f>
        <v>494.99917327867496</v>
      </c>
      <c r="L88" s="7">
        <f>I88*104.7/100*L89/100</f>
        <v>502.75560535508595</v>
      </c>
      <c r="M88" s="7">
        <f>J88*104.7/100*M89/100</f>
        <v>505.83998699906721</v>
      </c>
      <c r="N88" s="7">
        <f>K88*104.7/100*N89/100</f>
        <v>510.49017240643116</v>
      </c>
    </row>
    <row r="89" spans="1:14" s="2" customFormat="1" ht="112.5" x14ac:dyDescent="0.3">
      <c r="A89" s="13" t="s">
        <v>212</v>
      </c>
      <c r="B89" s="31" t="s">
        <v>130</v>
      </c>
      <c r="C89" s="7">
        <v>92.5</v>
      </c>
      <c r="D89" s="31">
        <v>94.6</v>
      </c>
      <c r="E89" s="31">
        <v>92</v>
      </c>
      <c r="F89" s="31">
        <v>98</v>
      </c>
      <c r="G89" s="31">
        <v>98.2</v>
      </c>
      <c r="H89" s="31">
        <v>98.5</v>
      </c>
      <c r="I89" s="31">
        <v>98</v>
      </c>
      <c r="J89" s="31">
        <v>98.2</v>
      </c>
      <c r="K89" s="31">
        <v>98.5</v>
      </c>
      <c r="L89" s="31">
        <v>98</v>
      </c>
      <c r="M89" s="31">
        <v>98.2</v>
      </c>
      <c r="N89" s="31">
        <v>98.5</v>
      </c>
    </row>
    <row r="90" spans="1:14" s="2" customFormat="1" ht="69" customHeight="1" x14ac:dyDescent="0.3">
      <c r="A90" s="13" t="s">
        <v>16</v>
      </c>
      <c r="B90" s="31" t="s">
        <v>134</v>
      </c>
      <c r="C90" s="31">
        <v>22.5</v>
      </c>
      <c r="D90" s="31">
        <v>25.4</v>
      </c>
      <c r="E90" s="31">
        <v>22.5</v>
      </c>
      <c r="F90" s="8">
        <v>21.4</v>
      </c>
      <c r="G90" s="8">
        <v>22.7</v>
      </c>
      <c r="H90" s="8">
        <v>24.2</v>
      </c>
      <c r="I90" s="8">
        <v>22</v>
      </c>
      <c r="J90" s="8">
        <v>22.7</v>
      </c>
      <c r="K90" s="8">
        <v>24.3</v>
      </c>
      <c r="L90" s="8">
        <v>22.2</v>
      </c>
      <c r="M90" s="8">
        <v>22.7</v>
      </c>
      <c r="N90" s="8">
        <v>24.3</v>
      </c>
    </row>
    <row r="91" spans="1:14" s="2" customFormat="1" ht="18.75" customHeight="1" x14ac:dyDescent="0.3">
      <c r="A91" s="47" t="s">
        <v>135</v>
      </c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</row>
    <row r="92" spans="1:14" s="2" customFormat="1" ht="18.75" x14ac:dyDescent="0.3">
      <c r="A92" s="13" t="s">
        <v>18</v>
      </c>
      <c r="B92" s="31" t="s">
        <v>190</v>
      </c>
      <c r="C92" s="8">
        <v>9755.7999999999993</v>
      </c>
      <c r="D92" s="31">
        <v>10075.799999999999</v>
      </c>
      <c r="E92" s="31">
        <v>10652.7</v>
      </c>
      <c r="F92" s="31">
        <f>E92*103.1/100*F93/100</f>
        <v>10982.933700000001</v>
      </c>
      <c r="G92" s="14">
        <f>E92*103/100*G93/100</f>
        <v>11027.142405000001</v>
      </c>
      <c r="H92" s="14">
        <f>E92*103/100*H93/100</f>
        <v>11049.086967000003</v>
      </c>
      <c r="I92" s="14">
        <f>F92*103.6/100*I93/100</f>
        <v>11378.3193132</v>
      </c>
      <c r="J92" s="14">
        <f>G92*103.5/100*J93/100</f>
        <v>11470.157851120875</v>
      </c>
      <c r="K92" s="14">
        <f>H92*103.5/100*K93/100</f>
        <v>11504.419840910072</v>
      </c>
      <c r="L92" s="14">
        <f>I92*104.3/100*L93/100</f>
        <v>11891.322217754934</v>
      </c>
      <c r="M92" s="14">
        <f>J92*104.3/100*M93/100</f>
        <v>12047.118261190106</v>
      </c>
      <c r="N92" s="14">
        <f>K92*104.3/100*N93/100</f>
        <v>12095.102773221757</v>
      </c>
    </row>
    <row r="93" spans="1:14" s="2" customFormat="1" ht="163.5" customHeight="1" x14ac:dyDescent="0.3">
      <c r="A93" s="13" t="s">
        <v>136</v>
      </c>
      <c r="B93" s="31" t="s">
        <v>130</v>
      </c>
      <c r="C93" s="14">
        <v>100.8</v>
      </c>
      <c r="D93" s="14">
        <v>100.6</v>
      </c>
      <c r="E93" s="14">
        <v>100.6</v>
      </c>
      <c r="F93" s="14">
        <v>100</v>
      </c>
      <c r="G93" s="14">
        <v>100.5</v>
      </c>
      <c r="H93" s="14">
        <v>100.7</v>
      </c>
      <c r="I93" s="14">
        <v>100</v>
      </c>
      <c r="J93" s="14">
        <v>100.5</v>
      </c>
      <c r="K93" s="14">
        <v>100.6</v>
      </c>
      <c r="L93" s="14">
        <v>100.2</v>
      </c>
      <c r="M93" s="14">
        <v>100.7</v>
      </c>
      <c r="N93" s="14">
        <v>100.8</v>
      </c>
    </row>
    <row r="94" spans="1:14" s="2" customFormat="1" ht="18.75" x14ac:dyDescent="0.3">
      <c r="A94" s="13" t="s">
        <v>19</v>
      </c>
      <c r="B94" s="31" t="s">
        <v>190</v>
      </c>
      <c r="C94" s="9">
        <v>3466.5</v>
      </c>
      <c r="D94" s="31">
        <v>3601.7</v>
      </c>
      <c r="E94" s="31">
        <v>3771.1</v>
      </c>
      <c r="F94" s="31">
        <f>E94*104.2/100*F95/100</f>
        <v>3933.4156862</v>
      </c>
      <c r="G94" s="31">
        <f>E94*104.2/100*G95/100</f>
        <v>3941.2746585999998</v>
      </c>
      <c r="H94" s="31">
        <f>E94*104.2/100*H95/100</f>
        <v>3949.1336309999997</v>
      </c>
      <c r="I94" s="31">
        <f t="shared" ref="I94:N94" si="4">F94*104.4/100*I95/100</f>
        <v>4110.5924623691926</v>
      </c>
      <c r="J94" s="31">
        <f t="shared" si="4"/>
        <v>4127.0348158091347</v>
      </c>
      <c r="K94" s="31">
        <f t="shared" si="4"/>
        <v>4143.50998831782</v>
      </c>
      <c r="L94" s="31">
        <f t="shared" si="4"/>
        <v>4300.0414477748645</v>
      </c>
      <c r="M94" s="31">
        <f t="shared" si="4"/>
        <v>4330.1674694432604</v>
      </c>
      <c r="N94" s="31">
        <f t="shared" si="4"/>
        <v>4356.105198798431</v>
      </c>
    </row>
    <row r="95" spans="1:14" s="2" customFormat="1" ht="112.5" x14ac:dyDescent="0.3">
      <c r="A95" s="13" t="s">
        <v>137</v>
      </c>
      <c r="B95" s="31" t="s">
        <v>130</v>
      </c>
      <c r="C95" s="10">
        <v>95.1</v>
      </c>
      <c r="D95" s="14">
        <v>100</v>
      </c>
      <c r="E95" s="14">
        <v>100.1</v>
      </c>
      <c r="F95" s="14">
        <v>100.1</v>
      </c>
      <c r="G95" s="14">
        <v>100.3</v>
      </c>
      <c r="H95" s="14">
        <v>100.5</v>
      </c>
      <c r="I95" s="14">
        <v>100.1</v>
      </c>
      <c r="J95" s="14">
        <v>100.3</v>
      </c>
      <c r="K95" s="14">
        <v>100.5</v>
      </c>
      <c r="L95" s="14">
        <v>100.2</v>
      </c>
      <c r="M95" s="14">
        <v>100.5</v>
      </c>
      <c r="N95" s="14">
        <v>100.7</v>
      </c>
    </row>
    <row r="96" spans="1:14" s="2" customFormat="1" ht="18.75" customHeight="1" x14ac:dyDescent="0.3">
      <c r="A96" s="47" t="s">
        <v>138</v>
      </c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</row>
    <row r="97" spans="1:14" s="2" customFormat="1" ht="90.75" customHeight="1" x14ac:dyDescent="0.3">
      <c r="A97" s="13" t="s">
        <v>112</v>
      </c>
      <c r="B97" s="31" t="s">
        <v>20</v>
      </c>
      <c r="C97" s="31">
        <v>693</v>
      </c>
      <c r="D97" s="31">
        <v>659</v>
      </c>
      <c r="E97" s="31">
        <v>662</v>
      </c>
      <c r="F97" s="31">
        <v>662</v>
      </c>
      <c r="G97" s="31">
        <v>668</v>
      </c>
      <c r="H97" s="31">
        <v>670</v>
      </c>
      <c r="I97" s="31">
        <v>662</v>
      </c>
      <c r="J97" s="31">
        <v>671</v>
      </c>
      <c r="K97" s="31">
        <v>675</v>
      </c>
      <c r="L97" s="31">
        <v>662</v>
      </c>
      <c r="M97" s="31">
        <v>674</v>
      </c>
      <c r="N97" s="31">
        <v>680</v>
      </c>
    </row>
    <row r="98" spans="1:14" s="2" customFormat="1" ht="108" customHeight="1" x14ac:dyDescent="0.3">
      <c r="A98" s="13" t="s">
        <v>139</v>
      </c>
      <c r="B98" s="31" t="s">
        <v>21</v>
      </c>
      <c r="C98" s="8">
        <v>12.9</v>
      </c>
      <c r="D98" s="8">
        <v>13.1</v>
      </c>
      <c r="E98" s="18">
        <v>13.3</v>
      </c>
      <c r="F98" s="8">
        <f>E98*100%</f>
        <v>13.3</v>
      </c>
      <c r="G98" s="8">
        <f>E98*101.2%</f>
        <v>13.4596</v>
      </c>
      <c r="H98" s="8">
        <f>E98*101.5%</f>
        <v>13.499499999999999</v>
      </c>
      <c r="I98" s="18">
        <f>F98*100.6%</f>
        <v>13.379800000000001</v>
      </c>
      <c r="J98" s="18">
        <f>G98*100.6%</f>
        <v>13.5403576</v>
      </c>
      <c r="K98" s="18">
        <f>H98*100.6%</f>
        <v>13.580496999999999</v>
      </c>
      <c r="L98" s="18">
        <f>I98*100.6%</f>
        <v>13.460078800000002</v>
      </c>
      <c r="M98" s="18">
        <f>J98*100.7%</f>
        <v>13.635140103200001</v>
      </c>
      <c r="N98" s="18">
        <f>K98*100.8%</f>
        <v>13.689140975999999</v>
      </c>
    </row>
    <row r="99" spans="1:14" s="2" customFormat="1" ht="70.5" customHeight="1" x14ac:dyDescent="0.3">
      <c r="A99" s="13" t="s">
        <v>47</v>
      </c>
      <c r="B99" s="31" t="s">
        <v>214</v>
      </c>
      <c r="C99" s="18">
        <v>13.1</v>
      </c>
      <c r="D99" s="18">
        <v>14.02</v>
      </c>
      <c r="E99" s="18">
        <v>14.8</v>
      </c>
      <c r="F99" s="18">
        <f>E99*101%</f>
        <v>14.948</v>
      </c>
      <c r="G99" s="18">
        <f>E99*103.5%</f>
        <v>15.318</v>
      </c>
      <c r="H99" s="18">
        <f>E99*104%</f>
        <v>15.392000000000001</v>
      </c>
      <c r="I99" s="18">
        <f>F99*103.2%</f>
        <v>15.426336000000001</v>
      </c>
      <c r="J99" s="18">
        <f>G99*103.8%</f>
        <v>15.900084</v>
      </c>
      <c r="K99" s="18">
        <f>H99*104%</f>
        <v>16.007680000000001</v>
      </c>
      <c r="L99" s="18">
        <f>I99*103.2%</f>
        <v>15.919978752000002</v>
      </c>
      <c r="M99" s="18">
        <f>J99*103.9%</f>
        <v>16.520187276000001</v>
      </c>
      <c r="N99" s="18">
        <f>K99*104%</f>
        <v>16.647987200000003</v>
      </c>
    </row>
    <row r="100" spans="1:14" s="2" customFormat="1" ht="19.5" customHeight="1" x14ac:dyDescent="0.3">
      <c r="A100" s="47" t="s">
        <v>183</v>
      </c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</row>
    <row r="101" spans="1:14" s="2" customFormat="1" ht="93" customHeight="1" x14ac:dyDescent="0.3">
      <c r="A101" s="21" t="s">
        <v>184</v>
      </c>
      <c r="B101" s="16" t="s">
        <v>185</v>
      </c>
      <c r="C101" s="10">
        <v>3234.7</v>
      </c>
      <c r="D101" s="14">
        <v>3355.7</v>
      </c>
      <c r="E101" s="14">
        <v>3406</v>
      </c>
      <c r="F101" s="14">
        <v>3380</v>
      </c>
      <c r="G101" s="14">
        <v>3440</v>
      </c>
      <c r="H101" s="14">
        <v>3450</v>
      </c>
      <c r="I101" s="14">
        <v>3396.9</v>
      </c>
      <c r="J101" s="14">
        <v>3474</v>
      </c>
      <c r="K101" s="14">
        <v>3501.7</v>
      </c>
      <c r="L101" s="14">
        <f>I101*100.5%</f>
        <v>3413.8844999999997</v>
      </c>
      <c r="M101" s="14">
        <v>3508.7</v>
      </c>
      <c r="N101" s="14">
        <f>K101*101.5%</f>
        <v>3554.2254999999996</v>
      </c>
    </row>
    <row r="102" spans="1:14" s="2" customFormat="1" ht="100.5" customHeight="1" x14ac:dyDescent="0.3">
      <c r="A102" s="21" t="s">
        <v>22</v>
      </c>
      <c r="B102" s="27" t="s">
        <v>186</v>
      </c>
      <c r="C102" s="10">
        <v>218.3</v>
      </c>
      <c r="D102" s="14">
        <v>98.5</v>
      </c>
      <c r="E102" s="14">
        <f>E101/107.4%/D101*100</f>
        <v>94.505532680185226</v>
      </c>
      <c r="F102" s="14">
        <f>F101/104.5%/E101*100</f>
        <v>94.963293034807705</v>
      </c>
      <c r="G102" s="14">
        <f>G101/103.6%/E101*100</f>
        <v>97.488647106967719</v>
      </c>
      <c r="H102" s="14">
        <f>H101/103.6%/E101*100</f>
        <v>97.772044336929824</v>
      </c>
      <c r="I102" s="14">
        <f>I101/104.1%/F101*100</f>
        <v>96.541786743515857</v>
      </c>
      <c r="J102" s="14">
        <f t="shared" ref="J102:N102" si="5">J101/103.7%/G101*100</f>
        <v>97.385122558363804</v>
      </c>
      <c r="K102" s="14">
        <f t="shared" si="5"/>
        <v>97.877098095118299</v>
      </c>
      <c r="L102" s="14">
        <f t="shared" si="5"/>
        <v>96.91417550626808</v>
      </c>
      <c r="M102" s="14">
        <f t="shared" si="5"/>
        <v>97.395225255084057</v>
      </c>
      <c r="N102" s="14">
        <f t="shared" si="5"/>
        <v>97.878495660559309</v>
      </c>
    </row>
    <row r="103" spans="1:14" s="2" customFormat="1" ht="130.5" customHeight="1" x14ac:dyDescent="0.3">
      <c r="A103" s="19" t="s">
        <v>187</v>
      </c>
      <c r="B103" s="16" t="s">
        <v>46</v>
      </c>
      <c r="C103" s="14">
        <v>1586</v>
      </c>
      <c r="D103" s="14">
        <v>1451.3</v>
      </c>
      <c r="E103" s="10">
        <v>1465.8</v>
      </c>
      <c r="F103" s="10">
        <f>E103*100.1%</f>
        <v>1467.2657999999999</v>
      </c>
      <c r="G103" s="10">
        <f>E103*101%</f>
        <v>1480.4579999999999</v>
      </c>
      <c r="H103" s="10">
        <f>E103*101.5%</f>
        <v>1487.7869999999998</v>
      </c>
      <c r="I103" s="10">
        <f>F103*100.5%</f>
        <v>1474.6021289999996</v>
      </c>
      <c r="J103" s="10">
        <f>G103*101%</f>
        <v>1495.2625799999998</v>
      </c>
      <c r="K103" s="10">
        <f>H103*101.5%</f>
        <v>1510.1038049999997</v>
      </c>
      <c r="L103" s="10">
        <f>I103*100.5%</f>
        <v>1481.9751396449994</v>
      </c>
      <c r="M103" s="10">
        <f>J103*101%</f>
        <v>1510.2152057999999</v>
      </c>
      <c r="N103" s="10">
        <f>K103*101.5%</f>
        <v>1532.7553620749995</v>
      </c>
    </row>
    <row r="104" spans="1:14" s="2" customFormat="1" ht="93.75" x14ac:dyDescent="0.3">
      <c r="A104" s="19" t="s">
        <v>188</v>
      </c>
      <c r="B104" s="16" t="s">
        <v>186</v>
      </c>
      <c r="C104" s="36">
        <v>135.69999999999999</v>
      </c>
      <c r="D104" s="22">
        <v>84</v>
      </c>
      <c r="E104" s="37">
        <f>E103/107.4%/D103*100</f>
        <v>94.04013431225404</v>
      </c>
      <c r="F104" s="22">
        <f>F103/104.5%/E103*100</f>
        <v>95.789473684210535</v>
      </c>
      <c r="G104" s="37">
        <f>G103/103.6%/E103*100</f>
        <v>97.490347490347489</v>
      </c>
      <c r="H104" s="22">
        <f>H103/103.6%/E103*100</f>
        <v>97.972972972972968</v>
      </c>
      <c r="I104" s="37">
        <f>I103/104.1%/F103*100</f>
        <v>96.541786743515829</v>
      </c>
      <c r="J104" s="22">
        <f t="shared" ref="J104:N104" si="6">J103/103.7%/G103*100</f>
        <v>97.396335583413702</v>
      </c>
      <c r="K104" s="37">
        <f t="shared" si="6"/>
        <v>97.878495660559324</v>
      </c>
      <c r="L104" s="37">
        <f t="shared" si="6"/>
        <v>96.91417550626808</v>
      </c>
      <c r="M104" s="22">
        <f t="shared" si="6"/>
        <v>97.396335583413702</v>
      </c>
      <c r="N104" s="37">
        <f t="shared" si="6"/>
        <v>97.878495660559309</v>
      </c>
    </row>
    <row r="105" spans="1:14" s="2" customFormat="1" ht="37.5" x14ac:dyDescent="0.3">
      <c r="A105" s="28" t="s">
        <v>189</v>
      </c>
      <c r="B105" s="17"/>
      <c r="C105" s="28"/>
      <c r="D105" s="17"/>
      <c r="E105" s="28"/>
      <c r="F105" s="17"/>
      <c r="G105" s="28"/>
      <c r="H105" s="17"/>
      <c r="I105" s="28"/>
      <c r="J105" s="17"/>
      <c r="K105" s="28"/>
      <c r="L105" s="17"/>
      <c r="M105" s="28"/>
      <c r="N105" s="17"/>
    </row>
    <row r="106" spans="1:14" s="2" customFormat="1" ht="18.75" x14ac:dyDescent="0.3">
      <c r="A106" s="23" t="s">
        <v>23</v>
      </c>
      <c r="B106" s="17" t="s">
        <v>190</v>
      </c>
      <c r="C106" s="10">
        <v>1326.2</v>
      </c>
      <c r="D106" s="38">
        <v>953.4</v>
      </c>
      <c r="E106" s="38">
        <v>1035</v>
      </c>
      <c r="F106" s="38">
        <f>F103-F107</f>
        <v>1129.8658</v>
      </c>
      <c r="G106" s="38">
        <f t="shared" ref="G106:N106" si="7">G103-G107</f>
        <v>1040.058</v>
      </c>
      <c r="H106" s="38">
        <f t="shared" si="7"/>
        <v>981.38699999999983</v>
      </c>
      <c r="I106" s="38">
        <f t="shared" si="7"/>
        <v>1033.3021289999997</v>
      </c>
      <c r="J106" s="38">
        <f t="shared" si="7"/>
        <v>1002.4625799999999</v>
      </c>
      <c r="K106" s="38">
        <f t="shared" si="7"/>
        <v>995.70380499999976</v>
      </c>
      <c r="L106" s="38">
        <f t="shared" si="7"/>
        <v>1032.6751396449995</v>
      </c>
      <c r="M106" s="38">
        <f t="shared" si="7"/>
        <v>1003.7152057999999</v>
      </c>
      <c r="N106" s="38">
        <f t="shared" si="7"/>
        <v>983.05536207499949</v>
      </c>
    </row>
    <row r="107" spans="1:14" s="2" customFormat="1" ht="18.75" x14ac:dyDescent="0.3">
      <c r="A107" s="23" t="s">
        <v>113</v>
      </c>
      <c r="B107" s="17" t="s">
        <v>190</v>
      </c>
      <c r="C107" s="8">
        <v>259.8</v>
      </c>
      <c r="D107" s="39">
        <v>497.9</v>
      </c>
      <c r="E107" s="39">
        <v>430.8</v>
      </c>
      <c r="F107" s="38">
        <f t="shared" ref="F107:N107" si="8">F108+F110+F111</f>
        <v>337.4</v>
      </c>
      <c r="G107" s="38">
        <f t="shared" si="8"/>
        <v>440.4</v>
      </c>
      <c r="H107" s="38">
        <f t="shared" si="8"/>
        <v>506.4</v>
      </c>
      <c r="I107" s="38">
        <f t="shared" si="8"/>
        <v>441.29999999999995</v>
      </c>
      <c r="J107" s="38">
        <f t="shared" si="8"/>
        <v>492.79999999999995</v>
      </c>
      <c r="K107" s="38">
        <f t="shared" si="8"/>
        <v>514.4</v>
      </c>
      <c r="L107" s="38">
        <f t="shared" si="8"/>
        <v>449.29999999999995</v>
      </c>
      <c r="M107" s="38">
        <f t="shared" si="8"/>
        <v>506.5</v>
      </c>
      <c r="N107" s="38">
        <f t="shared" si="8"/>
        <v>549.70000000000005</v>
      </c>
    </row>
    <row r="108" spans="1:14" s="2" customFormat="1" ht="18.75" x14ac:dyDescent="0.3">
      <c r="A108" s="15" t="s">
        <v>191</v>
      </c>
      <c r="B108" s="17" t="s">
        <v>190</v>
      </c>
      <c r="C108" s="8">
        <v>13.1</v>
      </c>
      <c r="D108" s="39">
        <v>241.8</v>
      </c>
      <c r="E108" s="39">
        <v>215.4</v>
      </c>
      <c r="F108" s="39">
        <v>115.4</v>
      </c>
      <c r="G108" s="39">
        <v>145.4</v>
      </c>
      <c r="H108" s="39">
        <v>160.4</v>
      </c>
      <c r="I108" s="39">
        <v>125.4</v>
      </c>
      <c r="J108" s="39">
        <v>155.4</v>
      </c>
      <c r="K108" s="39">
        <v>160.4</v>
      </c>
      <c r="L108" s="39">
        <v>115.4</v>
      </c>
      <c r="M108" s="39">
        <v>145.4</v>
      </c>
      <c r="N108" s="39">
        <v>160.4</v>
      </c>
    </row>
    <row r="109" spans="1:14" s="2" customFormat="1" ht="18.75" x14ac:dyDescent="0.3">
      <c r="A109" s="15" t="s">
        <v>192</v>
      </c>
      <c r="B109" s="17" t="s">
        <v>190</v>
      </c>
      <c r="C109" s="8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</row>
    <row r="110" spans="1:14" s="2" customFormat="1" ht="37.5" x14ac:dyDescent="0.3">
      <c r="A110" s="15" t="s">
        <v>193</v>
      </c>
      <c r="B110" s="17" t="s">
        <v>190</v>
      </c>
      <c r="C110" s="10">
        <v>43.6</v>
      </c>
      <c r="D110" s="38">
        <v>40.9</v>
      </c>
      <c r="E110" s="38">
        <v>35.4</v>
      </c>
      <c r="F110" s="38">
        <v>42</v>
      </c>
      <c r="G110" s="38">
        <v>45</v>
      </c>
      <c r="H110" s="38">
        <v>50</v>
      </c>
      <c r="I110" s="38">
        <v>43</v>
      </c>
      <c r="J110" s="38">
        <v>47</v>
      </c>
      <c r="K110" s="38">
        <v>52</v>
      </c>
      <c r="L110" s="38">
        <v>43.5</v>
      </c>
      <c r="M110" s="38">
        <v>47.5</v>
      </c>
      <c r="N110" s="38">
        <v>52.5</v>
      </c>
    </row>
    <row r="111" spans="1:14" s="2" customFormat="1" ht="18.75" x14ac:dyDescent="0.3">
      <c r="A111" s="15" t="s">
        <v>194</v>
      </c>
      <c r="B111" s="17" t="s">
        <v>190</v>
      </c>
      <c r="C111" s="10">
        <v>196.5</v>
      </c>
      <c r="D111" s="38">
        <v>215.2</v>
      </c>
      <c r="E111" s="38">
        <v>180</v>
      </c>
      <c r="F111" s="38">
        <v>180</v>
      </c>
      <c r="G111" s="38">
        <v>250</v>
      </c>
      <c r="H111" s="38">
        <v>296</v>
      </c>
      <c r="I111" s="38">
        <v>272.89999999999998</v>
      </c>
      <c r="J111" s="38">
        <v>290.39999999999998</v>
      </c>
      <c r="K111" s="38">
        <v>302</v>
      </c>
      <c r="L111" s="38">
        <v>290.39999999999998</v>
      </c>
      <c r="M111" s="38">
        <v>313.60000000000002</v>
      </c>
      <c r="N111" s="38">
        <v>336.8</v>
      </c>
    </row>
    <row r="112" spans="1:14" s="2" customFormat="1" ht="18.75" x14ac:dyDescent="0.3">
      <c r="A112" s="23" t="s">
        <v>195</v>
      </c>
      <c r="B112" s="17" t="s">
        <v>190</v>
      </c>
      <c r="C112" s="10">
        <v>50.8</v>
      </c>
      <c r="D112" s="38">
        <v>70.3</v>
      </c>
      <c r="E112" s="38">
        <v>100</v>
      </c>
      <c r="F112" s="38">
        <v>70</v>
      </c>
      <c r="G112" s="38">
        <v>107</v>
      </c>
      <c r="H112" s="38">
        <v>120</v>
      </c>
      <c r="I112" s="38">
        <v>122.3</v>
      </c>
      <c r="J112" s="38">
        <v>135.9</v>
      </c>
      <c r="K112" s="38">
        <v>150</v>
      </c>
      <c r="L112" s="38">
        <v>109</v>
      </c>
      <c r="M112" s="38">
        <v>126.4</v>
      </c>
      <c r="N112" s="38">
        <v>135</v>
      </c>
    </row>
    <row r="113" spans="1:14" s="2" customFormat="1" ht="37.5" x14ac:dyDescent="0.3">
      <c r="A113" s="23" t="s">
        <v>196</v>
      </c>
      <c r="B113" s="17" t="s">
        <v>190</v>
      </c>
      <c r="C113" s="10">
        <v>113.8</v>
      </c>
      <c r="D113" s="38">
        <v>51.1</v>
      </c>
      <c r="E113" s="38">
        <v>63.8</v>
      </c>
      <c r="F113" s="38">
        <v>90</v>
      </c>
      <c r="G113" s="38">
        <v>120</v>
      </c>
      <c r="H113" s="38">
        <v>150</v>
      </c>
      <c r="I113" s="38">
        <v>129.6</v>
      </c>
      <c r="J113" s="38">
        <v>131.5</v>
      </c>
      <c r="K113" s="38">
        <v>126</v>
      </c>
      <c r="L113" s="38">
        <v>160.4</v>
      </c>
      <c r="M113" s="38">
        <v>164.2</v>
      </c>
      <c r="N113" s="38">
        <v>175.8</v>
      </c>
    </row>
    <row r="114" spans="1:14" s="2" customFormat="1" ht="18.75" x14ac:dyDescent="0.3">
      <c r="A114" s="23" t="s">
        <v>197</v>
      </c>
      <c r="B114" s="17" t="s">
        <v>190</v>
      </c>
      <c r="C114" s="10">
        <v>31.9</v>
      </c>
      <c r="D114" s="38">
        <v>93.8</v>
      </c>
      <c r="E114" s="38">
        <v>16.2</v>
      </c>
      <c r="F114" s="38">
        <v>20</v>
      </c>
      <c r="G114" s="38">
        <v>23</v>
      </c>
      <c r="H114" s="38">
        <v>26</v>
      </c>
      <c r="I114" s="38">
        <v>21</v>
      </c>
      <c r="J114" s="38">
        <v>23</v>
      </c>
      <c r="K114" s="38">
        <v>26</v>
      </c>
      <c r="L114" s="38">
        <v>21</v>
      </c>
      <c r="M114" s="38">
        <v>23</v>
      </c>
      <c r="N114" s="38">
        <v>26</v>
      </c>
    </row>
    <row r="115" spans="1:14" s="2" customFormat="1" ht="18.75" x14ac:dyDescent="0.3">
      <c r="A115" s="15" t="s">
        <v>198</v>
      </c>
      <c r="B115" s="17" t="s">
        <v>190</v>
      </c>
      <c r="C115" s="8">
        <v>6.6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</row>
    <row r="116" spans="1:14" s="2" customFormat="1" ht="34.5" customHeight="1" x14ac:dyDescent="0.3">
      <c r="A116" s="47" t="s">
        <v>176</v>
      </c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</row>
    <row r="117" spans="1:14" s="2" customFormat="1" ht="37.5" x14ac:dyDescent="0.3">
      <c r="A117" s="13" t="s">
        <v>118</v>
      </c>
      <c r="B117" s="31" t="s">
        <v>210</v>
      </c>
      <c r="C117" s="42">
        <f t="shared" ref="C117:N117" si="9">C118+C131</f>
        <v>3061.6</v>
      </c>
      <c r="D117" s="42">
        <f t="shared" si="9"/>
        <v>3550.01</v>
      </c>
      <c r="E117" s="42">
        <f t="shared" si="9"/>
        <v>3709.39</v>
      </c>
      <c r="F117" s="42">
        <f t="shared" si="9"/>
        <v>4472.03</v>
      </c>
      <c r="G117" s="42">
        <f t="shared" si="9"/>
        <v>4506.53</v>
      </c>
      <c r="H117" s="42">
        <f t="shared" si="9"/>
        <v>4506.53</v>
      </c>
      <c r="I117" s="42">
        <f t="shared" si="9"/>
        <v>4482.58</v>
      </c>
      <c r="J117" s="42">
        <f t="shared" si="9"/>
        <v>4491.8599999999997</v>
      </c>
      <c r="K117" s="42">
        <f t="shared" si="9"/>
        <v>4491.8599999999997</v>
      </c>
      <c r="L117" s="42">
        <f t="shared" si="9"/>
        <v>3856.29</v>
      </c>
      <c r="M117" s="42">
        <f t="shared" si="9"/>
        <v>3893.46</v>
      </c>
      <c r="N117" s="42">
        <f t="shared" si="9"/>
        <v>3893.46</v>
      </c>
    </row>
    <row r="118" spans="1:14" s="2" customFormat="1" ht="37.5" x14ac:dyDescent="0.3">
      <c r="A118" s="13" t="s">
        <v>114</v>
      </c>
      <c r="B118" s="31" t="s">
        <v>210</v>
      </c>
      <c r="C118" s="43">
        <v>682.9</v>
      </c>
      <c r="D118" s="43">
        <f t="shared" ref="D118:N118" si="10">D119+D130</f>
        <v>606.9</v>
      </c>
      <c r="E118" s="43">
        <f>E119+E130</f>
        <v>629.30999999999995</v>
      </c>
      <c r="F118" s="43">
        <f t="shared" si="10"/>
        <v>612.64</v>
      </c>
      <c r="G118" s="42">
        <f t="shared" si="10"/>
        <v>647.14</v>
      </c>
      <c r="H118" s="43">
        <f t="shared" si="10"/>
        <v>647.14</v>
      </c>
      <c r="I118" s="43">
        <f t="shared" si="10"/>
        <v>595.86</v>
      </c>
      <c r="J118" s="42">
        <f t="shared" si="10"/>
        <v>625.1400000000001</v>
      </c>
      <c r="K118" s="43">
        <f t="shared" si="10"/>
        <v>625.1400000000001</v>
      </c>
      <c r="L118" s="43">
        <f t="shared" si="10"/>
        <v>594.76</v>
      </c>
      <c r="M118" s="43">
        <f t="shared" si="10"/>
        <v>631.93000000000006</v>
      </c>
      <c r="N118" s="43">
        <f t="shared" si="10"/>
        <v>631.93000000000006</v>
      </c>
    </row>
    <row r="119" spans="1:14" s="2" customFormat="1" ht="75" x14ac:dyDescent="0.3">
      <c r="A119" s="13" t="s">
        <v>140</v>
      </c>
      <c r="B119" s="31" t="s">
        <v>210</v>
      </c>
      <c r="C119" s="43">
        <v>511.1</v>
      </c>
      <c r="D119" s="43">
        <v>426.5</v>
      </c>
      <c r="E119" s="43">
        <f>E120+E121+E122+E123+E124+E125+E126+E127+E128+E129+16.85</f>
        <v>496.45</v>
      </c>
      <c r="F119" s="43">
        <f>F120+F121+F122+F123+F124+F125+F126+F127+F128+F129+15.61</f>
        <v>496.16</v>
      </c>
      <c r="G119" s="42">
        <f>G120+G121+G122+G123+G124+G125+G126+G127+G128+G129+13.54</f>
        <v>532.66999999999996</v>
      </c>
      <c r="H119" s="43">
        <f>H120+H121+H122+H123+H124+H125+H126+H127+H128+H129+13.54</f>
        <v>532.66999999999996</v>
      </c>
      <c r="I119" s="43">
        <f>I120+I121+I122+I123+I124+I125+I126+I127+I128+I129+16.12</f>
        <v>482.86</v>
      </c>
      <c r="J119" s="42">
        <f>J120+J121+J122+J123+J124+J125+J126+J127+J128+J129+14.08</f>
        <v>512.04000000000008</v>
      </c>
      <c r="K119" s="43">
        <f>K120+K121+K122+K123+K124+K125+K126+K127+K128+K129+14.08</f>
        <v>512.04000000000008</v>
      </c>
      <c r="L119" s="43">
        <f t="shared" ref="L119" si="11">L120+L121+L122+L123+L124+L125+L126+L127+L128+L129+16.62</f>
        <v>481.94</v>
      </c>
      <c r="M119" s="43">
        <f>M120+M121+M122+M123+M124+M125+M126+M127+M128+M129+14.65</f>
        <v>519.48</v>
      </c>
      <c r="N119" s="43">
        <f>N120+N121+N122+N123+N124+N125+N126+N127+N128+N129+14.65</f>
        <v>519.48</v>
      </c>
    </row>
    <row r="120" spans="1:14" s="2" customFormat="1" ht="18.75" x14ac:dyDescent="0.3">
      <c r="A120" s="24" t="s">
        <v>141</v>
      </c>
      <c r="B120" s="31" t="s">
        <v>210</v>
      </c>
      <c r="C120" s="43"/>
      <c r="D120" s="43"/>
      <c r="E120" s="43"/>
      <c r="F120" s="43"/>
      <c r="G120" s="42"/>
      <c r="H120" s="43"/>
      <c r="I120" s="43"/>
      <c r="J120" s="42"/>
      <c r="K120" s="43"/>
      <c r="L120" s="43"/>
      <c r="M120" s="43"/>
      <c r="N120" s="43"/>
    </row>
    <row r="121" spans="1:14" s="2" customFormat="1" ht="18.75" x14ac:dyDescent="0.3">
      <c r="A121" s="24" t="s">
        <v>142</v>
      </c>
      <c r="B121" s="31" t="s">
        <v>210</v>
      </c>
      <c r="C121" s="43">
        <v>303.89999999999998</v>
      </c>
      <c r="D121" s="43">
        <v>216.08</v>
      </c>
      <c r="E121" s="43">
        <v>274.95</v>
      </c>
      <c r="F121" s="43">
        <v>274.04000000000002</v>
      </c>
      <c r="G121" s="42">
        <v>283.11</v>
      </c>
      <c r="H121" s="43">
        <v>283.11</v>
      </c>
      <c r="I121" s="43">
        <v>280.89</v>
      </c>
      <c r="J121" s="42">
        <v>291.54000000000002</v>
      </c>
      <c r="K121" s="43">
        <v>291.54000000000002</v>
      </c>
      <c r="L121" s="43">
        <v>287.92</v>
      </c>
      <c r="M121" s="43">
        <v>300.02999999999997</v>
      </c>
      <c r="N121" s="43">
        <v>300.02999999999997</v>
      </c>
    </row>
    <row r="122" spans="1:14" s="2" customFormat="1" ht="37.5" x14ac:dyDescent="0.3">
      <c r="A122" s="24" t="s">
        <v>143</v>
      </c>
      <c r="B122" s="31" t="s">
        <v>210</v>
      </c>
      <c r="C122" s="43"/>
      <c r="D122" s="43"/>
      <c r="E122" s="43"/>
      <c r="F122" s="43"/>
      <c r="G122" s="42"/>
      <c r="H122" s="43"/>
      <c r="I122" s="43"/>
      <c r="J122" s="42"/>
      <c r="K122" s="43"/>
      <c r="L122" s="43"/>
      <c r="M122" s="43"/>
      <c r="N122" s="43"/>
    </row>
    <row r="123" spans="1:14" s="2" customFormat="1" ht="18.75" x14ac:dyDescent="0.3">
      <c r="A123" s="24" t="s">
        <v>144</v>
      </c>
      <c r="B123" s="31" t="s">
        <v>210</v>
      </c>
      <c r="C123" s="43">
        <v>31.9</v>
      </c>
      <c r="D123" s="43">
        <v>34.5</v>
      </c>
      <c r="E123" s="43">
        <v>38.32</v>
      </c>
      <c r="F123" s="43">
        <v>38.32</v>
      </c>
      <c r="G123" s="42">
        <v>41.22</v>
      </c>
      <c r="H123" s="43">
        <v>41.22</v>
      </c>
      <c r="I123" s="43">
        <v>42.15</v>
      </c>
      <c r="J123" s="42">
        <v>43.39</v>
      </c>
      <c r="K123" s="43">
        <v>43.39</v>
      </c>
      <c r="L123" s="43">
        <v>43.84</v>
      </c>
      <c r="M123" s="43">
        <v>45.81</v>
      </c>
      <c r="N123" s="43">
        <v>45.81</v>
      </c>
    </row>
    <row r="124" spans="1:14" s="2" customFormat="1" ht="56.25" x14ac:dyDescent="0.3">
      <c r="A124" s="24" t="s">
        <v>145</v>
      </c>
      <c r="B124" s="31" t="s">
        <v>210</v>
      </c>
      <c r="C124" s="43">
        <v>74.099999999999994</v>
      </c>
      <c r="D124" s="43">
        <v>68.78</v>
      </c>
      <c r="E124" s="43">
        <v>63.32</v>
      </c>
      <c r="F124" s="43">
        <v>67.14</v>
      </c>
      <c r="G124" s="42">
        <v>77.64</v>
      </c>
      <c r="H124" s="43">
        <v>77.64</v>
      </c>
      <c r="I124" s="43">
        <v>39.479999999999997</v>
      </c>
      <c r="J124" s="42">
        <v>42.05</v>
      </c>
      <c r="K124" s="43">
        <v>42.05</v>
      </c>
      <c r="L124" s="43">
        <v>29.34</v>
      </c>
      <c r="M124" s="43">
        <v>33.53</v>
      </c>
      <c r="N124" s="43">
        <v>33.53</v>
      </c>
    </row>
    <row r="125" spans="1:14" s="2" customFormat="1" ht="18.75" x14ac:dyDescent="0.3">
      <c r="A125" s="24" t="s">
        <v>146</v>
      </c>
      <c r="B125" s="31" t="s">
        <v>210</v>
      </c>
      <c r="C125" s="40">
        <v>17.8</v>
      </c>
      <c r="D125" s="40">
        <v>23.75</v>
      </c>
      <c r="E125" s="40">
        <v>28.87</v>
      </c>
      <c r="F125" s="40">
        <v>31.76</v>
      </c>
      <c r="G125" s="41">
        <v>36.57</v>
      </c>
      <c r="H125" s="40">
        <v>36.57</v>
      </c>
      <c r="I125" s="40">
        <v>34.93</v>
      </c>
      <c r="J125" s="41">
        <v>40.22</v>
      </c>
      <c r="K125" s="40">
        <v>40.22</v>
      </c>
      <c r="L125" s="40">
        <v>34.93</v>
      </c>
      <c r="M125" s="40">
        <v>44.28</v>
      </c>
      <c r="N125" s="40">
        <v>44.28</v>
      </c>
    </row>
    <row r="126" spans="1:14" s="2" customFormat="1" ht="18.75" x14ac:dyDescent="0.3">
      <c r="A126" s="24" t="s">
        <v>147</v>
      </c>
      <c r="B126" s="31" t="s">
        <v>210</v>
      </c>
      <c r="C126" s="40"/>
      <c r="D126" s="40"/>
      <c r="E126" s="40"/>
      <c r="F126" s="40"/>
      <c r="G126" s="41"/>
      <c r="H126" s="40"/>
      <c r="I126" s="40"/>
      <c r="J126" s="41"/>
      <c r="K126" s="40"/>
      <c r="L126" s="40"/>
      <c r="M126" s="40"/>
      <c r="N126" s="40"/>
    </row>
    <row r="127" spans="1:14" s="2" customFormat="1" ht="18.75" x14ac:dyDescent="0.3">
      <c r="A127" s="24" t="s">
        <v>148</v>
      </c>
      <c r="B127" s="31" t="s">
        <v>210</v>
      </c>
      <c r="C127" s="40"/>
      <c r="D127" s="40"/>
      <c r="E127" s="40"/>
      <c r="F127" s="40"/>
      <c r="G127" s="41"/>
      <c r="H127" s="40"/>
      <c r="I127" s="40"/>
      <c r="J127" s="41"/>
      <c r="K127" s="40"/>
      <c r="L127" s="40"/>
      <c r="M127" s="40"/>
      <c r="N127" s="40"/>
    </row>
    <row r="128" spans="1:14" s="2" customFormat="1" ht="18.75" x14ac:dyDescent="0.3">
      <c r="A128" s="24" t="s">
        <v>149</v>
      </c>
      <c r="B128" s="31" t="s">
        <v>210</v>
      </c>
      <c r="C128" s="40"/>
      <c r="D128" s="40"/>
      <c r="E128" s="40"/>
      <c r="F128" s="40"/>
      <c r="G128" s="41"/>
      <c r="H128" s="40"/>
      <c r="I128" s="40"/>
      <c r="J128" s="41"/>
      <c r="K128" s="40"/>
      <c r="L128" s="40"/>
      <c r="M128" s="40"/>
      <c r="N128" s="40"/>
    </row>
    <row r="129" spans="1:14" s="2" customFormat="1" ht="18.75" x14ac:dyDescent="0.3">
      <c r="A129" s="24" t="s">
        <v>150</v>
      </c>
      <c r="B129" s="31" t="s">
        <v>210</v>
      </c>
      <c r="C129" s="40">
        <v>70.7</v>
      </c>
      <c r="D129" s="40">
        <v>69.19</v>
      </c>
      <c r="E129" s="40">
        <v>74.14</v>
      </c>
      <c r="F129" s="40">
        <v>69.290000000000006</v>
      </c>
      <c r="G129" s="41">
        <v>80.59</v>
      </c>
      <c r="H129" s="40">
        <v>80.59</v>
      </c>
      <c r="I129" s="40">
        <v>69.290000000000006</v>
      </c>
      <c r="J129" s="41">
        <v>80.760000000000005</v>
      </c>
      <c r="K129" s="40">
        <v>80.760000000000005</v>
      </c>
      <c r="L129" s="40">
        <v>69.290000000000006</v>
      </c>
      <c r="M129" s="40">
        <v>81.180000000000007</v>
      </c>
      <c r="N129" s="40">
        <v>81.180000000000007</v>
      </c>
    </row>
    <row r="130" spans="1:14" s="2" customFormat="1" ht="18.75" x14ac:dyDescent="0.3">
      <c r="A130" s="13" t="s">
        <v>115</v>
      </c>
      <c r="B130" s="31" t="s">
        <v>210</v>
      </c>
      <c r="C130" s="40">
        <v>171.9</v>
      </c>
      <c r="D130" s="40">
        <v>180.4</v>
      </c>
      <c r="E130" s="40">
        <v>132.86000000000001</v>
      </c>
      <c r="F130" s="40">
        <v>116.48</v>
      </c>
      <c r="G130" s="41">
        <v>114.47</v>
      </c>
      <c r="H130" s="40">
        <v>114.47</v>
      </c>
      <c r="I130" s="40">
        <v>113</v>
      </c>
      <c r="J130" s="41">
        <v>113.1</v>
      </c>
      <c r="K130" s="40">
        <v>113.1</v>
      </c>
      <c r="L130" s="40">
        <v>112.82</v>
      </c>
      <c r="M130" s="40">
        <v>112.45</v>
      </c>
      <c r="N130" s="41">
        <v>112.45</v>
      </c>
    </row>
    <row r="131" spans="1:14" s="2" customFormat="1" ht="37.5" x14ac:dyDescent="0.3">
      <c r="A131" s="13" t="s">
        <v>116</v>
      </c>
      <c r="B131" s="31" t="s">
        <v>210</v>
      </c>
      <c r="C131" s="40">
        <v>2378.6999999999998</v>
      </c>
      <c r="D131" s="40">
        <v>2943.11</v>
      </c>
      <c r="E131" s="40">
        <v>3080.08</v>
      </c>
      <c r="F131" s="40">
        <v>3859.39</v>
      </c>
      <c r="G131" s="41">
        <v>3859.39</v>
      </c>
      <c r="H131" s="40">
        <v>3859.39</v>
      </c>
      <c r="I131" s="40">
        <v>3886.72</v>
      </c>
      <c r="J131" s="41">
        <v>3866.72</v>
      </c>
      <c r="K131" s="40">
        <v>3866.72</v>
      </c>
      <c r="L131" s="40">
        <v>3261.53</v>
      </c>
      <c r="M131" s="40">
        <v>3261.53</v>
      </c>
      <c r="N131" s="40">
        <v>3261.53</v>
      </c>
    </row>
    <row r="132" spans="1:14" s="2" customFormat="1" ht="18.75" x14ac:dyDescent="0.3">
      <c r="A132" s="24" t="s">
        <v>151</v>
      </c>
      <c r="B132" s="31" t="s">
        <v>210</v>
      </c>
      <c r="C132" s="40">
        <v>245.1</v>
      </c>
      <c r="D132" s="40">
        <v>693.28</v>
      </c>
      <c r="E132" s="40">
        <v>844.7</v>
      </c>
      <c r="F132" s="40">
        <v>1260.8800000000001</v>
      </c>
      <c r="G132" s="41">
        <v>1260.8800000000001</v>
      </c>
      <c r="H132" s="40">
        <v>1260.8800000000001</v>
      </c>
      <c r="I132" s="40">
        <v>1315.92</v>
      </c>
      <c r="J132" s="41">
        <v>1315.92</v>
      </c>
      <c r="K132" s="40">
        <v>1315.92</v>
      </c>
      <c r="L132" s="40">
        <v>649.74</v>
      </c>
      <c r="M132" s="40">
        <v>649.74</v>
      </c>
      <c r="N132" s="40">
        <v>649.74</v>
      </c>
    </row>
    <row r="133" spans="1:14" s="2" customFormat="1" ht="18.75" x14ac:dyDescent="0.3">
      <c r="A133" s="24" t="s">
        <v>152</v>
      </c>
      <c r="B133" s="31" t="s">
        <v>210</v>
      </c>
      <c r="C133" s="40">
        <v>1664.3</v>
      </c>
      <c r="D133" s="40">
        <v>1663.57</v>
      </c>
      <c r="E133" s="40">
        <v>1669.08</v>
      </c>
      <c r="F133" s="40">
        <v>1868.12</v>
      </c>
      <c r="G133" s="41">
        <v>1868.12</v>
      </c>
      <c r="H133" s="40">
        <v>1868.12</v>
      </c>
      <c r="I133" s="40">
        <v>1889.1</v>
      </c>
      <c r="J133" s="41">
        <v>1889.1</v>
      </c>
      <c r="K133" s="40">
        <v>1889.1</v>
      </c>
      <c r="L133" s="40">
        <v>1926.36</v>
      </c>
      <c r="M133" s="40">
        <v>1926.36</v>
      </c>
      <c r="N133" s="40">
        <v>1926.36</v>
      </c>
    </row>
    <row r="134" spans="1:14" s="2" customFormat="1" ht="37.5" x14ac:dyDescent="0.3">
      <c r="A134" s="24" t="s">
        <v>153</v>
      </c>
      <c r="B134" s="31" t="s">
        <v>210</v>
      </c>
      <c r="C134" s="40">
        <v>420</v>
      </c>
      <c r="D134" s="40">
        <v>549.04</v>
      </c>
      <c r="E134" s="40">
        <v>514.29</v>
      </c>
      <c r="F134" s="40">
        <v>718.4</v>
      </c>
      <c r="G134" s="41">
        <v>718.4</v>
      </c>
      <c r="H134" s="40">
        <v>718.4</v>
      </c>
      <c r="I134" s="40">
        <v>657.17</v>
      </c>
      <c r="J134" s="41">
        <v>657.17</v>
      </c>
      <c r="K134" s="40">
        <v>657.17</v>
      </c>
      <c r="L134" s="40">
        <v>680.8</v>
      </c>
      <c r="M134" s="40">
        <v>680.8</v>
      </c>
      <c r="N134" s="40">
        <v>680.8</v>
      </c>
    </row>
    <row r="135" spans="1:14" s="2" customFormat="1" ht="37.5" x14ac:dyDescent="0.3">
      <c r="A135" s="24" t="s">
        <v>154</v>
      </c>
      <c r="B135" s="31" t="s">
        <v>210</v>
      </c>
      <c r="C135" s="40">
        <v>417.6</v>
      </c>
      <c r="D135" s="40">
        <v>449.04</v>
      </c>
      <c r="E135" s="40">
        <v>513.29</v>
      </c>
      <c r="F135" s="40">
        <v>650.13</v>
      </c>
      <c r="G135" s="41">
        <v>650.13</v>
      </c>
      <c r="H135" s="40">
        <v>650.13</v>
      </c>
      <c r="I135" s="40">
        <v>556.97</v>
      </c>
      <c r="J135" s="41">
        <v>556.97</v>
      </c>
      <c r="K135" s="40">
        <v>556.97</v>
      </c>
      <c r="L135" s="40">
        <v>560.85</v>
      </c>
      <c r="M135" s="40">
        <v>560.85</v>
      </c>
      <c r="N135" s="40">
        <v>560.85</v>
      </c>
    </row>
    <row r="136" spans="1:14" s="2" customFormat="1" ht="56.25" x14ac:dyDescent="0.3">
      <c r="A136" s="13" t="s">
        <v>177</v>
      </c>
      <c r="B136" s="31" t="s">
        <v>210</v>
      </c>
      <c r="C136" s="41">
        <f t="shared" ref="C136:N136" si="12">SUM(C137:C149)</f>
        <v>3141.78</v>
      </c>
      <c r="D136" s="41">
        <f t="shared" si="12"/>
        <v>3438.15</v>
      </c>
      <c r="E136" s="41">
        <f t="shared" si="12"/>
        <v>3945.8300000000004</v>
      </c>
      <c r="F136" s="41">
        <f t="shared" si="12"/>
        <v>4533.6500000000005</v>
      </c>
      <c r="G136" s="41">
        <f t="shared" si="12"/>
        <v>4558.58</v>
      </c>
      <c r="H136" s="41">
        <f t="shared" si="12"/>
        <v>4558.58</v>
      </c>
      <c r="I136" s="41">
        <f t="shared" si="12"/>
        <v>4482.58</v>
      </c>
      <c r="J136" s="41">
        <f t="shared" si="12"/>
        <v>4491.8599999999997</v>
      </c>
      <c r="K136" s="41">
        <f t="shared" si="12"/>
        <v>4491.8599999999997</v>
      </c>
      <c r="L136" s="41">
        <f t="shared" si="12"/>
        <v>3856.2868073</v>
      </c>
      <c r="M136" s="41">
        <f t="shared" si="12"/>
        <v>3893.4600000000005</v>
      </c>
      <c r="N136" s="41">
        <f t="shared" si="12"/>
        <v>3893.4600000000005</v>
      </c>
    </row>
    <row r="137" spans="1:14" s="2" customFormat="1" ht="18.75" x14ac:dyDescent="0.3">
      <c r="A137" s="24" t="s">
        <v>155</v>
      </c>
      <c r="B137" s="31" t="s">
        <v>210</v>
      </c>
      <c r="C137" s="40">
        <v>287.76</v>
      </c>
      <c r="D137" s="40">
        <v>263.85000000000002</v>
      </c>
      <c r="E137" s="40">
        <v>290.27</v>
      </c>
      <c r="F137" s="40">
        <v>310.2</v>
      </c>
      <c r="G137" s="41">
        <v>314.22000000000003</v>
      </c>
      <c r="H137" s="41">
        <f>G137</f>
        <v>314.22000000000003</v>
      </c>
      <c r="I137" s="41">
        <v>265.5</v>
      </c>
      <c r="J137" s="41">
        <v>267.87</v>
      </c>
      <c r="K137" s="41">
        <f>J137</f>
        <v>267.87</v>
      </c>
      <c r="L137" s="41">
        <f>L117*6.237/100+0.01</f>
        <v>240.5268073</v>
      </c>
      <c r="M137" s="41">
        <v>268.45999999999998</v>
      </c>
      <c r="N137" s="41">
        <v>268.45999999999998</v>
      </c>
    </row>
    <row r="138" spans="1:14" s="2" customFormat="1" ht="18.75" x14ac:dyDescent="0.3">
      <c r="A138" s="24" t="s">
        <v>156</v>
      </c>
      <c r="B138" s="31" t="s">
        <v>210</v>
      </c>
      <c r="C138" s="40">
        <v>1.89</v>
      </c>
      <c r="D138" s="40">
        <v>0</v>
      </c>
      <c r="E138" s="40">
        <v>0</v>
      </c>
      <c r="F138" s="40">
        <v>0</v>
      </c>
      <c r="G138" s="41">
        <f>F138+(F138*1.21%)</f>
        <v>0</v>
      </c>
      <c r="H138" s="41">
        <f t="shared" ref="H138:H148" si="13">G138</f>
        <v>0</v>
      </c>
      <c r="I138" s="41">
        <v>0</v>
      </c>
      <c r="J138" s="41">
        <f>I138+(I138*1.09%)</f>
        <v>0</v>
      </c>
      <c r="K138" s="41">
        <f t="shared" ref="K138:K148" si="14">J138</f>
        <v>0</v>
      </c>
      <c r="L138" s="41">
        <v>0</v>
      </c>
      <c r="M138" s="41">
        <v>0</v>
      </c>
      <c r="N138" s="41">
        <v>0</v>
      </c>
    </row>
    <row r="139" spans="1:14" s="2" customFormat="1" ht="37.5" x14ac:dyDescent="0.3">
      <c r="A139" s="24" t="s">
        <v>157</v>
      </c>
      <c r="B139" s="31" t="s">
        <v>210</v>
      </c>
      <c r="C139" s="40">
        <v>26.94</v>
      </c>
      <c r="D139" s="40">
        <v>28.63</v>
      </c>
      <c r="E139" s="40">
        <v>29.92</v>
      </c>
      <c r="F139" s="40">
        <v>27.75</v>
      </c>
      <c r="G139" s="41">
        <v>28.38</v>
      </c>
      <c r="H139" s="41">
        <f t="shared" si="13"/>
        <v>28.38</v>
      </c>
      <c r="I139" s="41">
        <v>27.3</v>
      </c>
      <c r="J139" s="41">
        <v>27.99</v>
      </c>
      <c r="K139" s="41">
        <f t="shared" si="14"/>
        <v>27.99</v>
      </c>
      <c r="L139" s="41">
        <v>27.5</v>
      </c>
      <c r="M139" s="41">
        <v>27.99</v>
      </c>
      <c r="N139" s="41">
        <v>27.99</v>
      </c>
    </row>
    <row r="140" spans="1:14" s="2" customFormat="1" ht="18.75" x14ac:dyDescent="0.3">
      <c r="A140" s="24" t="s">
        <v>158</v>
      </c>
      <c r="B140" s="31" t="s">
        <v>210</v>
      </c>
      <c r="C140" s="40">
        <v>192.94</v>
      </c>
      <c r="D140" s="40">
        <v>265.74</v>
      </c>
      <c r="E140" s="40">
        <v>300.54000000000002</v>
      </c>
      <c r="F140" s="40">
        <v>292.10000000000002</v>
      </c>
      <c r="G140" s="41">
        <v>294.36</v>
      </c>
      <c r="H140" s="41">
        <f t="shared" si="13"/>
        <v>294.36</v>
      </c>
      <c r="I140" s="41">
        <v>274.2</v>
      </c>
      <c r="J140" s="41">
        <v>275.74</v>
      </c>
      <c r="K140" s="41">
        <f t="shared" si="14"/>
        <v>275.74</v>
      </c>
      <c r="L140" s="41">
        <v>277.3</v>
      </c>
      <c r="M140" s="41">
        <v>278.16000000000003</v>
      </c>
      <c r="N140" s="41">
        <v>278.16000000000003</v>
      </c>
    </row>
    <row r="141" spans="1:14" s="2" customFormat="1" ht="18.75" x14ac:dyDescent="0.3">
      <c r="A141" s="24" t="s">
        <v>159</v>
      </c>
      <c r="B141" s="31" t="s">
        <v>210</v>
      </c>
      <c r="C141" s="40">
        <v>213.62</v>
      </c>
      <c r="D141" s="40">
        <v>186.85</v>
      </c>
      <c r="E141" s="40">
        <v>451.75</v>
      </c>
      <c r="F141" s="40">
        <v>279.60000000000002</v>
      </c>
      <c r="G141" s="41">
        <v>281.51</v>
      </c>
      <c r="H141" s="41">
        <f t="shared" si="13"/>
        <v>281.51</v>
      </c>
      <c r="I141" s="41">
        <v>92.3</v>
      </c>
      <c r="J141" s="41">
        <v>93.34</v>
      </c>
      <c r="K141" s="41">
        <f t="shared" si="14"/>
        <v>93.34</v>
      </c>
      <c r="L141" s="41">
        <v>138.5</v>
      </c>
      <c r="M141" s="41">
        <v>139.74</v>
      </c>
      <c r="N141" s="41">
        <v>139.74</v>
      </c>
    </row>
    <row r="142" spans="1:14" s="2" customFormat="1" ht="18.75" x14ac:dyDescent="0.3">
      <c r="A142" s="24" t="s">
        <v>160</v>
      </c>
      <c r="B142" s="31" t="s">
        <v>210</v>
      </c>
      <c r="C142" s="40">
        <v>0</v>
      </c>
      <c r="D142" s="40">
        <v>0</v>
      </c>
      <c r="E142" s="40">
        <v>0</v>
      </c>
      <c r="F142" s="40">
        <v>0</v>
      </c>
      <c r="G142" s="41">
        <f>F142+(F142*1.21%)</f>
        <v>0</v>
      </c>
      <c r="H142" s="41">
        <f t="shared" si="13"/>
        <v>0</v>
      </c>
      <c r="I142" s="41">
        <v>0</v>
      </c>
      <c r="J142" s="41">
        <f>I142+(I142*1.09%)</f>
        <v>0</v>
      </c>
      <c r="K142" s="41">
        <f t="shared" si="14"/>
        <v>0</v>
      </c>
      <c r="L142" s="41">
        <v>0</v>
      </c>
      <c r="M142" s="41">
        <v>0</v>
      </c>
      <c r="N142" s="41">
        <v>0</v>
      </c>
    </row>
    <row r="143" spans="1:14" s="2" customFormat="1" ht="18.75" x14ac:dyDescent="0.3">
      <c r="A143" s="24" t="s">
        <v>161</v>
      </c>
      <c r="B143" s="31" t="s">
        <v>210</v>
      </c>
      <c r="C143" s="40">
        <v>1383.4</v>
      </c>
      <c r="D143" s="40">
        <v>1583.96</v>
      </c>
      <c r="E143" s="40">
        <v>1597.38</v>
      </c>
      <c r="F143" s="40">
        <v>2079.6</v>
      </c>
      <c r="G143" s="41">
        <v>2083.5700000000002</v>
      </c>
      <c r="H143" s="41">
        <f t="shared" si="13"/>
        <v>2083.5700000000002</v>
      </c>
      <c r="I143" s="41">
        <v>2543.8000000000002</v>
      </c>
      <c r="J143" s="41">
        <v>2544.9</v>
      </c>
      <c r="K143" s="41">
        <f t="shared" si="14"/>
        <v>2544.9</v>
      </c>
      <c r="L143" s="41">
        <v>1875.6</v>
      </c>
      <c r="M143" s="41">
        <v>1878.72</v>
      </c>
      <c r="N143" s="41">
        <v>1878.72</v>
      </c>
    </row>
    <row r="144" spans="1:14" s="2" customFormat="1" ht="18.75" x14ac:dyDescent="0.3">
      <c r="A144" s="24" t="s">
        <v>162</v>
      </c>
      <c r="B144" s="31" t="s">
        <v>210</v>
      </c>
      <c r="C144" s="40">
        <v>146.69999999999999</v>
      </c>
      <c r="D144" s="40">
        <v>157.65</v>
      </c>
      <c r="E144" s="40">
        <v>212.8</v>
      </c>
      <c r="F144" s="40">
        <v>167.4</v>
      </c>
      <c r="G144" s="41">
        <v>171.34</v>
      </c>
      <c r="H144" s="41">
        <f t="shared" si="13"/>
        <v>171.34</v>
      </c>
      <c r="I144" s="41">
        <v>169.1</v>
      </c>
      <c r="J144" s="41">
        <v>170.41</v>
      </c>
      <c r="K144" s="41">
        <f t="shared" si="14"/>
        <v>170.41</v>
      </c>
      <c r="L144" s="41">
        <v>171.3</v>
      </c>
      <c r="M144" s="41">
        <v>172.29</v>
      </c>
      <c r="N144" s="41">
        <v>172.29</v>
      </c>
    </row>
    <row r="145" spans="1:14" s="2" customFormat="1" ht="18.75" x14ac:dyDescent="0.3">
      <c r="A145" s="24" t="s">
        <v>163</v>
      </c>
      <c r="B145" s="31" t="s">
        <v>210</v>
      </c>
      <c r="C145" s="40">
        <v>0</v>
      </c>
      <c r="D145" s="40">
        <v>0</v>
      </c>
      <c r="E145" s="40">
        <v>0</v>
      </c>
      <c r="F145" s="40">
        <v>0</v>
      </c>
      <c r="G145" s="41">
        <f>F145+(F145*1.21%)</f>
        <v>0</v>
      </c>
      <c r="H145" s="41">
        <f t="shared" si="13"/>
        <v>0</v>
      </c>
      <c r="I145" s="41">
        <v>0</v>
      </c>
      <c r="J145" s="41">
        <f>I145+(I145*1.09%)</f>
        <v>0</v>
      </c>
      <c r="K145" s="41">
        <f t="shared" si="14"/>
        <v>0</v>
      </c>
      <c r="L145" s="41">
        <v>0</v>
      </c>
      <c r="M145" s="41">
        <v>0</v>
      </c>
      <c r="N145" s="41">
        <v>0</v>
      </c>
    </row>
    <row r="146" spans="1:14" s="2" customFormat="1" ht="18.75" x14ac:dyDescent="0.3">
      <c r="A146" s="24" t="s">
        <v>164</v>
      </c>
      <c r="B146" s="31" t="s">
        <v>210</v>
      </c>
      <c r="C146" s="40">
        <v>878.79</v>
      </c>
      <c r="D146" s="40">
        <v>910.98</v>
      </c>
      <c r="E146" s="40">
        <v>956.36</v>
      </c>
      <c r="F146" s="40">
        <v>1253.2</v>
      </c>
      <c r="G146" s="41">
        <v>1258.3</v>
      </c>
      <c r="H146" s="41">
        <f t="shared" si="13"/>
        <v>1258.3</v>
      </c>
      <c r="I146" s="41">
        <v>1095.0999999999999</v>
      </c>
      <c r="J146" s="41">
        <v>1096.08</v>
      </c>
      <c r="K146" s="41">
        <f t="shared" si="14"/>
        <v>1096.08</v>
      </c>
      <c r="L146" s="41">
        <v>1111.56</v>
      </c>
      <c r="M146" s="41">
        <v>1114.07</v>
      </c>
      <c r="N146" s="41">
        <v>1114.07</v>
      </c>
    </row>
    <row r="147" spans="1:14" s="2" customFormat="1" ht="18.75" x14ac:dyDescent="0.3">
      <c r="A147" s="24" t="s">
        <v>165</v>
      </c>
      <c r="B147" s="31" t="s">
        <v>210</v>
      </c>
      <c r="C147" s="40">
        <v>9.67</v>
      </c>
      <c r="D147" s="40">
        <v>40.49</v>
      </c>
      <c r="E147" s="40">
        <v>106.81</v>
      </c>
      <c r="F147" s="40">
        <v>123.8</v>
      </c>
      <c r="G147" s="41">
        <v>126.9</v>
      </c>
      <c r="H147" s="41">
        <f t="shared" si="13"/>
        <v>126.9</v>
      </c>
      <c r="I147" s="41">
        <v>15.28</v>
      </c>
      <c r="J147" s="41">
        <v>15.53</v>
      </c>
      <c r="K147" s="41">
        <f t="shared" si="14"/>
        <v>15.53</v>
      </c>
      <c r="L147" s="41">
        <v>14</v>
      </c>
      <c r="M147" s="41">
        <v>14.03</v>
      </c>
      <c r="N147" s="41">
        <v>14.03</v>
      </c>
    </row>
    <row r="148" spans="1:14" s="2" customFormat="1" ht="18.75" x14ac:dyDescent="0.3">
      <c r="A148" s="24" t="s">
        <v>166</v>
      </c>
      <c r="B148" s="31" t="s">
        <v>210</v>
      </c>
      <c r="C148" s="40">
        <v>0</v>
      </c>
      <c r="D148" s="40">
        <v>0</v>
      </c>
      <c r="E148" s="40">
        <v>0</v>
      </c>
      <c r="F148" s="40">
        <v>0</v>
      </c>
      <c r="G148" s="41">
        <f>F148+(F148*1.21%)</f>
        <v>0</v>
      </c>
      <c r="H148" s="41">
        <f t="shared" si="13"/>
        <v>0</v>
      </c>
      <c r="I148" s="41">
        <v>0</v>
      </c>
      <c r="J148" s="41">
        <f>I148+(I148*1.08%)</f>
        <v>0</v>
      </c>
      <c r="K148" s="41">
        <f t="shared" si="14"/>
        <v>0</v>
      </c>
      <c r="L148" s="41">
        <v>0</v>
      </c>
      <c r="M148" s="41">
        <v>0</v>
      </c>
      <c r="N148" s="41">
        <v>0</v>
      </c>
    </row>
    <row r="149" spans="1:14" s="2" customFormat="1" ht="37.5" x14ac:dyDescent="0.3">
      <c r="A149" s="24" t="s">
        <v>167</v>
      </c>
      <c r="B149" s="31" t="s">
        <v>210</v>
      </c>
      <c r="C149" s="40">
        <v>7.0000000000000007E-2</v>
      </c>
      <c r="D149" s="40">
        <v>0</v>
      </c>
      <c r="E149" s="40">
        <v>0</v>
      </c>
      <c r="F149" s="40">
        <v>0</v>
      </c>
      <c r="G149" s="41">
        <v>0</v>
      </c>
      <c r="H149" s="40">
        <v>0</v>
      </c>
      <c r="I149" s="40">
        <v>0</v>
      </c>
      <c r="J149" s="41">
        <v>0</v>
      </c>
      <c r="K149" s="40">
        <v>0</v>
      </c>
      <c r="L149" s="40">
        <v>0</v>
      </c>
      <c r="M149" s="40">
        <v>0</v>
      </c>
      <c r="N149" s="40">
        <v>0</v>
      </c>
    </row>
    <row r="150" spans="1:14" s="2" customFormat="1" ht="37.5" x14ac:dyDescent="0.3">
      <c r="A150" s="28" t="s">
        <v>215</v>
      </c>
      <c r="B150" s="17" t="s">
        <v>24</v>
      </c>
      <c r="C150" s="41">
        <f>C117-C136</f>
        <v>-80.180000000000291</v>
      </c>
      <c r="D150" s="41">
        <f t="shared" ref="D150:N150" si="15">D117-D136</f>
        <v>111.86000000000013</v>
      </c>
      <c r="E150" s="41">
        <f t="shared" si="15"/>
        <v>-236.44000000000051</v>
      </c>
      <c r="F150" s="41">
        <f t="shared" si="15"/>
        <v>-61.6200000000008</v>
      </c>
      <c r="G150" s="41">
        <f t="shared" si="15"/>
        <v>-52.050000000000182</v>
      </c>
      <c r="H150" s="41">
        <f t="shared" si="15"/>
        <v>-52.050000000000182</v>
      </c>
      <c r="I150" s="41">
        <f t="shared" si="15"/>
        <v>0</v>
      </c>
      <c r="J150" s="41">
        <f t="shared" si="15"/>
        <v>0</v>
      </c>
      <c r="K150" s="41">
        <f t="shared" si="15"/>
        <v>0</v>
      </c>
      <c r="L150" s="41">
        <f t="shared" si="15"/>
        <v>3.1926999999996042E-3</v>
      </c>
      <c r="M150" s="41">
        <f t="shared" si="15"/>
        <v>0</v>
      </c>
      <c r="N150" s="41">
        <f t="shared" si="15"/>
        <v>0</v>
      </c>
    </row>
    <row r="151" spans="1:14" s="2" customFormat="1" ht="37.5" x14ac:dyDescent="0.3">
      <c r="A151" s="28" t="s">
        <v>119</v>
      </c>
      <c r="B151" s="17" t="s">
        <v>24</v>
      </c>
      <c r="C151" s="40">
        <v>28.59</v>
      </c>
      <c r="D151" s="40">
        <v>0</v>
      </c>
      <c r="E151" s="40">
        <v>0</v>
      </c>
      <c r="F151" s="40">
        <f>G151-(G151*1%)</f>
        <v>0</v>
      </c>
      <c r="G151" s="41"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</row>
    <row r="152" spans="1:14" s="2" customFormat="1" ht="18.75" x14ac:dyDescent="0.3">
      <c r="A152" s="47" t="s">
        <v>168</v>
      </c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</row>
    <row r="153" spans="1:14" s="2" customFormat="1" ht="54.75" customHeight="1" x14ac:dyDescent="0.3">
      <c r="A153" s="13" t="s">
        <v>169</v>
      </c>
      <c r="B153" s="31" t="s">
        <v>21</v>
      </c>
      <c r="C153" s="31">
        <v>101.38</v>
      </c>
      <c r="D153" s="31">
        <v>101.23</v>
      </c>
      <c r="E153" s="31">
        <v>101.05</v>
      </c>
      <c r="F153" s="31">
        <v>101.05</v>
      </c>
      <c r="G153" s="31">
        <v>101.05</v>
      </c>
      <c r="H153" s="31">
        <v>101.05</v>
      </c>
      <c r="I153" s="31">
        <v>100.85</v>
      </c>
      <c r="J153" s="31">
        <v>100.85</v>
      </c>
      <c r="K153" s="31">
        <v>100.85</v>
      </c>
      <c r="L153" s="31">
        <v>100.65</v>
      </c>
      <c r="M153" s="31">
        <v>100.65</v>
      </c>
      <c r="N153" s="31">
        <v>100.65</v>
      </c>
    </row>
    <row r="154" spans="1:14" s="2" customFormat="1" ht="71.25" customHeight="1" x14ac:dyDescent="0.3">
      <c r="A154" s="13" t="s">
        <v>170</v>
      </c>
      <c r="B154" s="31" t="s">
        <v>21</v>
      </c>
      <c r="C154" s="31">
        <v>76.09</v>
      </c>
      <c r="D154" s="31">
        <v>76.27</v>
      </c>
      <c r="E154" s="31">
        <v>76.56</v>
      </c>
      <c r="F154" s="8">
        <v>76.56</v>
      </c>
      <c r="G154" s="8">
        <v>76.61</v>
      </c>
      <c r="H154" s="8">
        <v>76.61</v>
      </c>
      <c r="I154" s="8">
        <v>76.56</v>
      </c>
      <c r="J154" s="8">
        <v>76.66</v>
      </c>
      <c r="K154" s="8">
        <v>76.66</v>
      </c>
      <c r="L154" s="8">
        <v>76.709999999999994</v>
      </c>
      <c r="M154" s="8">
        <v>76.75</v>
      </c>
      <c r="N154" s="8">
        <v>76.75</v>
      </c>
    </row>
    <row r="155" spans="1:14" s="2" customFormat="1" ht="73.5" customHeight="1" x14ac:dyDescent="0.3">
      <c r="A155" s="21" t="s">
        <v>37</v>
      </c>
      <c r="B155" s="26" t="s">
        <v>21</v>
      </c>
      <c r="C155" s="18">
        <v>15.8</v>
      </c>
      <c r="D155" s="18">
        <v>15.6</v>
      </c>
      <c r="E155" s="18">
        <v>15.65</v>
      </c>
      <c r="F155" s="18">
        <v>15.5</v>
      </c>
      <c r="G155" s="18">
        <v>15.65</v>
      </c>
      <c r="H155" s="18">
        <v>15.7</v>
      </c>
      <c r="I155" s="18">
        <v>15.5</v>
      </c>
      <c r="J155" s="18">
        <v>15.65</v>
      </c>
      <c r="K155" s="18">
        <v>15.7</v>
      </c>
      <c r="L155" s="18">
        <v>15.55</v>
      </c>
      <c r="M155" s="18">
        <v>15.7</v>
      </c>
      <c r="N155" s="18">
        <v>15.75</v>
      </c>
    </row>
    <row r="156" spans="1:14" s="2" customFormat="1" ht="56.25" x14ac:dyDescent="0.3">
      <c r="A156" s="13" t="s">
        <v>120</v>
      </c>
      <c r="B156" s="31" t="s">
        <v>121</v>
      </c>
      <c r="C156" s="31">
        <v>24512</v>
      </c>
      <c r="D156" s="31">
        <v>25854</v>
      </c>
      <c r="E156" s="34">
        <v>27140</v>
      </c>
      <c r="F156" s="34">
        <f>E156*102.7%</f>
        <v>27872.780000000002</v>
      </c>
      <c r="G156" s="34">
        <f>E156*103%</f>
        <v>27954.2</v>
      </c>
      <c r="H156" s="34">
        <f>E156*103.2%</f>
        <v>28008.48</v>
      </c>
      <c r="I156" s="34">
        <f>F156*103%</f>
        <v>28708.963400000004</v>
      </c>
      <c r="J156" s="34">
        <f>G156*104%</f>
        <v>29072.368000000002</v>
      </c>
      <c r="K156" s="34">
        <f>H156*104.1%</f>
        <v>29156.827679999999</v>
      </c>
      <c r="L156" s="34">
        <f>I156*103%</f>
        <v>29570.232302000004</v>
      </c>
      <c r="M156" s="34">
        <f>J156*104%</f>
        <v>30235.262720000002</v>
      </c>
      <c r="N156" s="34">
        <f>K156*104.1%</f>
        <v>30352.257614879996</v>
      </c>
    </row>
    <row r="157" spans="1:14" s="2" customFormat="1" ht="88.5" customHeight="1" x14ac:dyDescent="0.3">
      <c r="A157" s="13" t="s">
        <v>171</v>
      </c>
      <c r="B157" s="31" t="s">
        <v>117</v>
      </c>
      <c r="C157" s="31">
        <v>108.9</v>
      </c>
      <c r="D157" s="31">
        <v>105.5</v>
      </c>
      <c r="E157" s="31">
        <v>105</v>
      </c>
      <c r="F157" s="31">
        <v>102.7</v>
      </c>
      <c r="G157" s="31">
        <v>103</v>
      </c>
      <c r="H157" s="31">
        <v>103.2</v>
      </c>
      <c r="I157" s="31">
        <v>103</v>
      </c>
      <c r="J157" s="31">
        <v>104</v>
      </c>
      <c r="K157" s="31">
        <v>104.1</v>
      </c>
      <c r="L157" s="31">
        <v>103</v>
      </c>
      <c r="M157" s="31">
        <v>104</v>
      </c>
      <c r="N157" s="31">
        <v>104.1</v>
      </c>
    </row>
    <row r="158" spans="1:14" s="2" customFormat="1" ht="37.5" x14ac:dyDescent="0.3">
      <c r="A158" s="13" t="s">
        <v>25</v>
      </c>
      <c r="B158" s="31" t="s">
        <v>17</v>
      </c>
      <c r="C158" s="11">
        <v>0.79</v>
      </c>
      <c r="D158" s="11">
        <v>0.7</v>
      </c>
      <c r="E158" s="11">
        <v>0.7</v>
      </c>
      <c r="F158" s="11">
        <v>0.76</v>
      </c>
      <c r="G158" s="11">
        <v>0.7</v>
      </c>
      <c r="H158" s="11">
        <v>0.65</v>
      </c>
      <c r="I158" s="11">
        <v>0.76</v>
      </c>
      <c r="J158" s="11">
        <v>0.7</v>
      </c>
      <c r="K158" s="11">
        <v>0.65</v>
      </c>
      <c r="L158" s="11">
        <v>0.76</v>
      </c>
      <c r="M158" s="11">
        <v>0.7</v>
      </c>
      <c r="N158" s="11">
        <v>0.65</v>
      </c>
    </row>
    <row r="159" spans="1:14" s="2" customFormat="1" ht="66" customHeight="1" x14ac:dyDescent="0.3">
      <c r="A159" s="13" t="s">
        <v>172</v>
      </c>
      <c r="B159" s="31" t="s">
        <v>21</v>
      </c>
      <c r="C159" s="11">
        <v>7.4</v>
      </c>
      <c r="D159" s="11">
        <v>6.8</v>
      </c>
      <c r="E159" s="11">
        <v>6.8</v>
      </c>
      <c r="F159" s="11">
        <v>6.8</v>
      </c>
      <c r="G159" s="11">
        <v>6.5</v>
      </c>
      <c r="H159" s="11">
        <v>6.5</v>
      </c>
      <c r="I159" s="11">
        <v>6.8</v>
      </c>
      <c r="J159" s="11">
        <v>6.5</v>
      </c>
      <c r="K159" s="11">
        <v>6.3</v>
      </c>
      <c r="L159" s="11">
        <v>6.8</v>
      </c>
      <c r="M159" s="11">
        <v>6.5</v>
      </c>
      <c r="N159" s="11">
        <v>6.3</v>
      </c>
    </row>
    <row r="160" spans="1:14" s="2" customFormat="1" ht="93.75" x14ac:dyDescent="0.3">
      <c r="A160" s="13" t="s">
        <v>173</v>
      </c>
      <c r="B160" s="31" t="s">
        <v>21</v>
      </c>
      <c r="C160" s="11">
        <v>0.70099999999999996</v>
      </c>
      <c r="D160" s="11">
        <v>0.55000000000000004</v>
      </c>
      <c r="E160" s="11">
        <v>0.53</v>
      </c>
      <c r="F160" s="11">
        <v>0.7</v>
      </c>
      <c r="G160" s="11">
        <v>0.6</v>
      </c>
      <c r="H160" s="11">
        <v>0.55000000000000004</v>
      </c>
      <c r="I160" s="11">
        <v>0.7</v>
      </c>
      <c r="J160" s="11">
        <v>0.6</v>
      </c>
      <c r="K160" s="11">
        <v>0.55000000000000004</v>
      </c>
      <c r="L160" s="11">
        <v>0.7</v>
      </c>
      <c r="M160" s="11">
        <v>0.6</v>
      </c>
      <c r="N160" s="11">
        <v>0.55000000000000004</v>
      </c>
    </row>
    <row r="161" spans="1:14" s="2" customFormat="1" ht="57.75" customHeight="1" x14ac:dyDescent="0.3">
      <c r="A161" s="13" t="s">
        <v>122</v>
      </c>
      <c r="B161" s="31" t="s">
        <v>216</v>
      </c>
      <c r="C161" s="14">
        <v>4824</v>
      </c>
      <c r="D161" s="14">
        <v>4853.8</v>
      </c>
      <c r="E161" s="14">
        <v>5057.6000000000004</v>
      </c>
      <c r="F161" s="14">
        <f>E161*F162%</f>
        <v>5209.3280000000004</v>
      </c>
      <c r="G161" s="14">
        <f>E161*G162%</f>
        <v>5259.9040000000005</v>
      </c>
      <c r="H161" s="14">
        <f t="shared" ref="H161:N161" si="16">E161*H162%</f>
        <v>5264.9615999999996</v>
      </c>
      <c r="I161" s="14">
        <f t="shared" si="16"/>
        <v>5365.6078400000006</v>
      </c>
      <c r="J161" s="14">
        <f t="shared" si="16"/>
        <v>5470.3001600000007</v>
      </c>
      <c r="K161" s="14">
        <f t="shared" si="16"/>
        <v>5480.8250255999992</v>
      </c>
      <c r="L161" s="14">
        <f t="shared" si="16"/>
        <v>5526.5760752000006</v>
      </c>
      <c r="M161" s="14">
        <f t="shared" si="16"/>
        <v>5689.1121664000011</v>
      </c>
      <c r="N161" s="14">
        <f t="shared" si="16"/>
        <v>5705.5388516495987</v>
      </c>
    </row>
    <row r="162" spans="1:14" s="2" customFormat="1" ht="57.75" customHeight="1" x14ac:dyDescent="0.3">
      <c r="A162" s="13" t="s">
        <v>123</v>
      </c>
      <c r="B162" s="31" t="s">
        <v>117</v>
      </c>
      <c r="C162" s="31">
        <v>103.9</v>
      </c>
      <c r="D162" s="31">
        <v>100.6</v>
      </c>
      <c r="E162" s="14">
        <v>104.2</v>
      </c>
      <c r="F162" s="14">
        <v>103</v>
      </c>
      <c r="G162" s="14">
        <v>104</v>
      </c>
      <c r="H162" s="14">
        <v>104.1</v>
      </c>
      <c r="I162" s="14">
        <v>103</v>
      </c>
      <c r="J162" s="14">
        <v>104</v>
      </c>
      <c r="K162" s="14">
        <v>104.1</v>
      </c>
      <c r="L162" s="14">
        <v>103</v>
      </c>
      <c r="M162" s="14">
        <v>104</v>
      </c>
      <c r="N162" s="14">
        <v>104.1</v>
      </c>
    </row>
    <row r="163" spans="1:14" s="2" customFormat="1" ht="29.25" customHeight="1" x14ac:dyDescent="0.3">
      <c r="A163" s="47" t="s">
        <v>174</v>
      </c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</row>
    <row r="164" spans="1:14" s="2" customFormat="1" ht="57.75" customHeight="1" x14ac:dyDescent="0.3">
      <c r="A164" s="13" t="s">
        <v>175</v>
      </c>
      <c r="B164" s="31" t="s">
        <v>117</v>
      </c>
      <c r="C164" s="35">
        <v>97</v>
      </c>
      <c r="D164" s="35">
        <v>150</v>
      </c>
      <c r="E164" s="35">
        <v>100</v>
      </c>
      <c r="F164" s="35">
        <v>97</v>
      </c>
      <c r="G164" s="35">
        <v>103</v>
      </c>
      <c r="H164" s="35">
        <v>105</v>
      </c>
      <c r="I164" s="35">
        <v>103</v>
      </c>
      <c r="J164" s="35">
        <v>104</v>
      </c>
      <c r="K164" s="35">
        <v>105</v>
      </c>
      <c r="L164" s="35">
        <v>103</v>
      </c>
      <c r="M164" s="35">
        <v>104</v>
      </c>
      <c r="N164" s="35">
        <v>105</v>
      </c>
    </row>
    <row r="165" spans="1:14" s="2" customFormat="1" ht="33" customHeight="1" x14ac:dyDescent="0.3">
      <c r="A165" s="47" t="s">
        <v>181</v>
      </c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</row>
    <row r="166" spans="1:14" s="2" customFormat="1" ht="37.5" x14ac:dyDescent="0.3">
      <c r="A166" s="21" t="s">
        <v>27</v>
      </c>
      <c r="B166" s="16" t="s">
        <v>26</v>
      </c>
      <c r="C166" s="35">
        <v>7372</v>
      </c>
      <c r="D166" s="35">
        <v>7323</v>
      </c>
      <c r="E166" s="35">
        <v>7463</v>
      </c>
      <c r="F166" s="35">
        <v>7463</v>
      </c>
      <c r="G166" s="35">
        <v>7463</v>
      </c>
      <c r="H166" s="35">
        <v>7463</v>
      </c>
      <c r="I166" s="35">
        <v>7623</v>
      </c>
      <c r="J166" s="35">
        <v>7623</v>
      </c>
      <c r="K166" s="35">
        <v>7623</v>
      </c>
      <c r="L166" s="35">
        <v>7723</v>
      </c>
      <c r="M166" s="35">
        <v>7723</v>
      </c>
      <c r="N166" s="35">
        <v>7723</v>
      </c>
    </row>
    <row r="167" spans="1:14" s="2" customFormat="1" ht="18.75" x14ac:dyDescent="0.3">
      <c r="A167" s="19" t="s">
        <v>28</v>
      </c>
      <c r="B167" s="16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</row>
    <row r="168" spans="1:14" s="2" customFormat="1" ht="37.5" x14ac:dyDescent="0.3">
      <c r="A168" s="19" t="s">
        <v>29</v>
      </c>
      <c r="B168" s="16" t="s">
        <v>30</v>
      </c>
      <c r="C168" s="35">
        <v>42.5</v>
      </c>
      <c r="D168" s="35">
        <v>43</v>
      </c>
      <c r="E168" s="35">
        <v>43.4</v>
      </c>
      <c r="F168" s="35">
        <v>44.15</v>
      </c>
      <c r="G168" s="35">
        <v>44.1</v>
      </c>
      <c r="H168" s="35">
        <v>44.05</v>
      </c>
      <c r="I168" s="35">
        <v>44.35</v>
      </c>
      <c r="J168" s="35">
        <v>44.3</v>
      </c>
      <c r="K168" s="35">
        <v>44.25</v>
      </c>
      <c r="L168" s="35">
        <v>45.55</v>
      </c>
      <c r="M168" s="35">
        <v>44.5</v>
      </c>
      <c r="N168" s="35">
        <v>44.45</v>
      </c>
    </row>
    <row r="169" spans="1:14" s="2" customFormat="1" ht="51.75" customHeight="1" x14ac:dyDescent="0.3">
      <c r="A169" s="19" t="s">
        <v>31</v>
      </c>
      <c r="B169" s="16" t="s">
        <v>217</v>
      </c>
      <c r="C169" s="35">
        <v>14.8</v>
      </c>
      <c r="D169" s="35">
        <v>14.9</v>
      </c>
      <c r="E169" s="35">
        <v>15</v>
      </c>
      <c r="F169" s="35">
        <v>15.1</v>
      </c>
      <c r="G169" s="35">
        <v>15.1</v>
      </c>
      <c r="H169" s="35">
        <v>15.1</v>
      </c>
      <c r="I169" s="35">
        <v>15.2</v>
      </c>
      <c r="J169" s="35">
        <v>15.2</v>
      </c>
      <c r="K169" s="35">
        <v>15.1</v>
      </c>
      <c r="L169" s="35">
        <v>15.2</v>
      </c>
      <c r="M169" s="35">
        <v>15.2</v>
      </c>
      <c r="N169" s="35">
        <v>15.2</v>
      </c>
    </row>
    <row r="170" spans="1:14" s="2" customFormat="1" ht="49.5" customHeight="1" x14ac:dyDescent="0.3">
      <c r="A170" s="19" t="s">
        <v>32</v>
      </c>
      <c r="B170" s="16" t="s">
        <v>217</v>
      </c>
      <c r="C170" s="35">
        <v>10.1</v>
      </c>
      <c r="D170" s="35">
        <v>10.199999999999999</v>
      </c>
      <c r="E170" s="35">
        <v>10.3</v>
      </c>
      <c r="F170" s="35">
        <v>10.3</v>
      </c>
      <c r="G170" s="35">
        <v>10.3</v>
      </c>
      <c r="H170" s="35">
        <v>10.199999999999999</v>
      </c>
      <c r="I170" s="35">
        <v>10.3</v>
      </c>
      <c r="J170" s="35">
        <v>10.3</v>
      </c>
      <c r="K170" s="35">
        <v>10.3</v>
      </c>
      <c r="L170" s="35">
        <v>10.3</v>
      </c>
      <c r="M170" s="35">
        <v>10.3</v>
      </c>
      <c r="N170" s="35">
        <v>10.3</v>
      </c>
    </row>
    <row r="171" spans="1:14" s="2" customFormat="1" ht="75" x14ac:dyDescent="0.3">
      <c r="A171" s="19" t="s">
        <v>33</v>
      </c>
      <c r="B171" s="16" t="s">
        <v>38</v>
      </c>
      <c r="C171" s="35">
        <v>575</v>
      </c>
      <c r="D171" s="35">
        <v>559</v>
      </c>
      <c r="E171" s="35">
        <v>597</v>
      </c>
      <c r="F171" s="35">
        <v>597</v>
      </c>
      <c r="G171" s="35">
        <v>597</v>
      </c>
      <c r="H171" s="35">
        <v>597</v>
      </c>
      <c r="I171" s="35">
        <v>611</v>
      </c>
      <c r="J171" s="35">
        <v>611</v>
      </c>
      <c r="K171" s="35">
        <v>611</v>
      </c>
      <c r="L171" s="35">
        <v>620</v>
      </c>
      <c r="M171" s="35">
        <v>620</v>
      </c>
      <c r="N171" s="35">
        <v>620</v>
      </c>
    </row>
    <row r="172" spans="1:14" s="2" customFormat="1" ht="18.75" x14ac:dyDescent="0.3">
      <c r="A172" s="47" t="s">
        <v>182</v>
      </c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</row>
    <row r="173" spans="1:14" s="2" customFormat="1" ht="18.75" x14ac:dyDescent="0.3">
      <c r="A173" s="47" t="s">
        <v>34</v>
      </c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</row>
    <row r="174" spans="1:14" s="2" customFormat="1" ht="18.75" x14ac:dyDescent="0.3">
      <c r="A174" s="21" t="s">
        <v>101</v>
      </c>
      <c r="B174" s="26" t="s">
        <v>21</v>
      </c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</row>
    <row r="175" spans="1:14" s="2" customFormat="1" ht="18.75" x14ac:dyDescent="0.3">
      <c r="A175" s="21" t="s">
        <v>102</v>
      </c>
      <c r="B175" s="26" t="s">
        <v>21</v>
      </c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</row>
    <row r="176" spans="1:14" s="33" customFormat="1" ht="18.75" x14ac:dyDescent="0.3">
      <c r="A176" s="21" t="s">
        <v>103</v>
      </c>
      <c r="B176" s="26" t="s">
        <v>21</v>
      </c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</row>
    <row r="177" spans="1:14" s="33" customFormat="1" ht="18.75" x14ac:dyDescent="0.25">
      <c r="A177" s="47" t="s">
        <v>35</v>
      </c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</row>
    <row r="178" spans="1:14" s="33" customFormat="1" ht="18.75" x14ac:dyDescent="0.3">
      <c r="A178" s="21" t="s">
        <v>101</v>
      </c>
      <c r="B178" s="26" t="s">
        <v>21</v>
      </c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</row>
    <row r="179" spans="1:14" s="33" customFormat="1" ht="18.75" x14ac:dyDescent="0.3">
      <c r="A179" s="21" t="s">
        <v>104</v>
      </c>
      <c r="B179" s="26" t="s">
        <v>21</v>
      </c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</row>
    <row r="180" spans="1:14" s="33" customFormat="1" ht="18.75" x14ac:dyDescent="0.3">
      <c r="A180" s="21" t="s">
        <v>105</v>
      </c>
      <c r="B180" s="26" t="s">
        <v>21</v>
      </c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</row>
    <row r="181" spans="1:14" s="33" customFormat="1" ht="45" customHeight="1" x14ac:dyDescent="0.3">
      <c r="A181" s="19" t="s">
        <v>106</v>
      </c>
      <c r="B181" s="16" t="s">
        <v>21</v>
      </c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</row>
    <row r="182" spans="1:14" ht="18.75" x14ac:dyDescent="0.3">
      <c r="A182" s="3"/>
      <c r="B182" s="3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</row>
    <row r="183" spans="1:14" ht="18.75" x14ac:dyDescent="0.3">
      <c r="A183" s="3"/>
      <c r="B183" s="3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</row>
    <row r="184" spans="1:14" ht="18.75" x14ac:dyDescent="0.3">
      <c r="A184" s="3" t="s">
        <v>100</v>
      </c>
      <c r="B184" s="3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  <row r="185" spans="1:14" ht="18.75" x14ac:dyDescent="0.3">
      <c r="A185" s="2" t="s">
        <v>108</v>
      </c>
      <c r="B185" s="3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</row>
    <row r="186" spans="1:14" ht="18.75" x14ac:dyDescent="0.3">
      <c r="A186" s="2" t="s">
        <v>107</v>
      </c>
      <c r="B186" s="3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</row>
    <row r="187" spans="1:14" x14ac:dyDescent="0.2">
      <c r="A187" s="4"/>
      <c r="B187" s="5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</row>
    <row r="188" spans="1:14" x14ac:dyDescent="0.2">
      <c r="A188" s="4"/>
      <c r="B188" s="5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</row>
    <row r="189" spans="1:14" x14ac:dyDescent="0.2">
      <c r="A189" s="4"/>
      <c r="B189" s="5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5"/>
      <c r="N189" s="45"/>
    </row>
    <row r="190" spans="1:14" ht="10.5" customHeight="1" x14ac:dyDescent="0.2">
      <c r="A190" s="44" t="s">
        <v>218</v>
      </c>
      <c r="B190" s="4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5"/>
      <c r="N190" s="45"/>
    </row>
    <row r="191" spans="1:14" ht="60.75" customHeight="1" x14ac:dyDescent="0.3">
      <c r="A191" s="44"/>
      <c r="B191" s="4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6" t="s">
        <v>219</v>
      </c>
      <c r="N191" s="46"/>
    </row>
  </sheetData>
  <mergeCells count="35">
    <mergeCell ref="A6:N6"/>
    <mergeCell ref="H1:N2"/>
    <mergeCell ref="H3:N3"/>
    <mergeCell ref="H4:N4"/>
    <mergeCell ref="H5:N5"/>
    <mergeCell ref="A100:N100"/>
    <mergeCell ref="A96:N96"/>
    <mergeCell ref="A23:N23"/>
    <mergeCell ref="B10:B13"/>
    <mergeCell ref="F11:H11"/>
    <mergeCell ref="F10:N10"/>
    <mergeCell ref="A14:N14"/>
    <mergeCell ref="A91:N91"/>
    <mergeCell ref="A87:N87"/>
    <mergeCell ref="A77:N77"/>
    <mergeCell ref="A70:N70"/>
    <mergeCell ref="A67:N67"/>
    <mergeCell ref="A64:N64"/>
    <mergeCell ref="A7:N7"/>
    <mergeCell ref="I11:J11"/>
    <mergeCell ref="L11:M11"/>
    <mergeCell ref="C11:C13"/>
    <mergeCell ref="D11:D13"/>
    <mergeCell ref="E11:E13"/>
    <mergeCell ref="A10:A13"/>
    <mergeCell ref="A163:N163"/>
    <mergeCell ref="A173:N173"/>
    <mergeCell ref="A116:N116"/>
    <mergeCell ref="A172:N172"/>
    <mergeCell ref="A152:N152"/>
    <mergeCell ref="A190:B191"/>
    <mergeCell ref="M189:N190"/>
    <mergeCell ref="M191:N191"/>
    <mergeCell ref="A177:N177"/>
    <mergeCell ref="A165:N165"/>
  </mergeCells>
  <printOptions horizontalCentered="1" verticalCentered="1"/>
  <pageMargins left="0" right="0" top="0" bottom="0" header="0" footer="0"/>
  <pageSetup paperSize="9" scale="55" orientation="landscape" useFirstPageNumber="1" r:id="rId1"/>
  <ignoredErrors>
    <ignoredError sqref="L102 N102" formula="1"/>
    <ignoredError sqref="F103:J103 K103:N103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 для МО и ГО</vt:lpstr>
      <vt:lpstr>'форма 2п для МО и ГО'!Заголовки_для_печати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Пользователь</cp:lastModifiedBy>
  <cp:lastPrinted>2019-11-08T10:43:17Z</cp:lastPrinted>
  <dcterms:created xsi:type="dcterms:W3CDTF">2013-05-25T16:45:04Z</dcterms:created>
  <dcterms:modified xsi:type="dcterms:W3CDTF">2019-11-14T06:59:51Z</dcterms:modified>
</cp:coreProperties>
</file>